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75" yWindow="-15" windowWidth="16530" windowHeight="8280"/>
  </bookViews>
  <sheets>
    <sheet name="List of species and traits" sheetId="1" r:id="rId1"/>
    <sheet name="Explanation of traits" sheetId="2" r:id="rId2"/>
  </sheets>
  <definedNames>
    <definedName name="Excel_BuiltIn_Print_Area" localSheetId="0">'List of species and traits'!$A:$A</definedName>
  </definedNames>
  <calcPr calcId="125725"/>
</workbook>
</file>

<file path=xl/calcChain.xml><?xml version="1.0" encoding="utf-8"?>
<calcChain xmlns="http://schemas.openxmlformats.org/spreadsheetml/2006/main">
  <c r="I5" i="1"/>
  <c r="H5"/>
  <c r="G5"/>
  <c r="H6"/>
  <c r="G6"/>
  <c r="I9"/>
  <c r="H9"/>
  <c r="G9"/>
  <c r="I10"/>
  <c r="H10"/>
  <c r="G10"/>
  <c r="I16"/>
  <c r="H16"/>
  <c r="G16"/>
  <c r="I17"/>
  <c r="G17"/>
  <c r="I19"/>
  <c r="H19"/>
  <c r="G19"/>
  <c r="H21"/>
  <c r="G21"/>
  <c r="I24"/>
  <c r="H24"/>
  <c r="G24"/>
  <c r="I25"/>
  <c r="H25"/>
  <c r="G25"/>
  <c r="I26"/>
  <c r="H26"/>
  <c r="G26"/>
  <c r="I27"/>
  <c r="H27"/>
  <c r="G27"/>
  <c r="I28"/>
  <c r="H28"/>
  <c r="G28"/>
  <c r="I32"/>
  <c r="H32"/>
  <c r="G32"/>
  <c r="I33"/>
  <c r="H33"/>
  <c r="G33"/>
  <c r="I35"/>
  <c r="H35"/>
  <c r="G35"/>
  <c r="I36"/>
  <c r="H36"/>
  <c r="G36"/>
  <c r="I38"/>
  <c r="H38"/>
  <c r="G38"/>
  <c r="I42"/>
  <c r="I44"/>
  <c r="H44"/>
  <c r="G44"/>
  <c r="I45"/>
  <c r="H45"/>
  <c r="G45"/>
  <c r="I49"/>
  <c r="H49"/>
  <c r="G49"/>
  <c r="I51"/>
  <c r="H51"/>
  <c r="G51"/>
  <c r="I52"/>
  <c r="H52"/>
  <c r="G52"/>
  <c r="I53"/>
  <c r="H53"/>
  <c r="G53"/>
  <c r="I54"/>
  <c r="H54"/>
  <c r="G54"/>
  <c r="H55"/>
  <c r="G55"/>
  <c r="I58"/>
  <c r="H58"/>
  <c r="G58"/>
  <c r="I59"/>
  <c r="H59"/>
  <c r="G59"/>
  <c r="I60"/>
  <c r="H60"/>
  <c r="G60"/>
  <c r="I61"/>
  <c r="H61"/>
  <c r="G61"/>
  <c r="I62"/>
  <c r="G62"/>
  <c r="I63"/>
  <c r="H63"/>
  <c r="G63"/>
  <c r="I66"/>
  <c r="H66"/>
  <c r="G66"/>
  <c r="I67"/>
  <c r="H67"/>
  <c r="G67"/>
  <c r="I68"/>
  <c r="H68"/>
  <c r="G68"/>
  <c r="I71"/>
  <c r="H71"/>
  <c r="G71"/>
  <c r="I72"/>
  <c r="H72"/>
  <c r="G72"/>
  <c r="I79"/>
  <c r="H79"/>
  <c r="G79"/>
  <c r="I80"/>
  <c r="H80"/>
  <c r="G80"/>
  <c r="I81"/>
  <c r="H81"/>
  <c r="G81"/>
  <c r="I82"/>
  <c r="H82"/>
  <c r="G82"/>
  <c r="I83"/>
  <c r="H83"/>
  <c r="G83"/>
  <c r="I84"/>
  <c r="H84"/>
  <c r="G84"/>
  <c r="I85"/>
  <c r="H85"/>
  <c r="G85"/>
  <c r="I87"/>
  <c r="H87"/>
  <c r="G87"/>
  <c r="I88"/>
  <c r="H88"/>
  <c r="G88"/>
  <c r="I91"/>
  <c r="H91"/>
  <c r="G91"/>
  <c r="I92"/>
  <c r="H92"/>
  <c r="G92"/>
  <c r="I93"/>
  <c r="H93"/>
  <c r="G93"/>
  <c r="I95"/>
  <c r="H95"/>
  <c r="G95"/>
  <c r="H97"/>
  <c r="G97"/>
  <c r="I98"/>
  <c r="H98"/>
  <c r="G98"/>
  <c r="I100"/>
  <c r="H100"/>
  <c r="G100"/>
  <c r="I101"/>
  <c r="H101"/>
  <c r="G101"/>
  <c r="I105"/>
  <c r="H105"/>
  <c r="G105"/>
  <c r="I106"/>
  <c r="H106"/>
  <c r="G106"/>
  <c r="I107"/>
  <c r="H107"/>
  <c r="I108"/>
  <c r="H108"/>
  <c r="G108"/>
  <c r="I109"/>
  <c r="H109"/>
  <c r="G109"/>
  <c r="I110"/>
  <c r="H110"/>
  <c r="G110"/>
  <c r="I113"/>
  <c r="H113"/>
  <c r="H115"/>
  <c r="G115"/>
  <c r="H118"/>
  <c r="G118"/>
  <c r="H119"/>
  <c r="G119"/>
  <c r="I120"/>
  <c r="G120"/>
  <c r="I122"/>
  <c r="H122"/>
  <c r="G122"/>
  <c r="I123"/>
  <c r="H123"/>
  <c r="I124"/>
  <c r="I125"/>
  <c r="H125"/>
  <c r="G125"/>
  <c r="I126"/>
  <c r="H126"/>
  <c r="G126"/>
  <c r="I127"/>
  <c r="H127"/>
  <c r="G127"/>
  <c r="I128"/>
  <c r="H128"/>
  <c r="G128"/>
  <c r="I130"/>
  <c r="H130"/>
  <c r="G130"/>
  <c r="I132"/>
  <c r="H132"/>
  <c r="G132"/>
  <c r="I133"/>
  <c r="H133"/>
  <c r="G133"/>
  <c r="H134"/>
  <c r="G134"/>
  <c r="I135"/>
  <c r="H135"/>
  <c r="G135"/>
  <c r="I138"/>
  <c r="H138"/>
  <c r="G138"/>
  <c r="I139"/>
  <c r="H139"/>
  <c r="I141"/>
  <c r="H141"/>
  <c r="G141"/>
  <c r="I143"/>
  <c r="H143"/>
  <c r="G143"/>
  <c r="I145"/>
  <c r="H145"/>
  <c r="G145"/>
  <c r="I146"/>
  <c r="H146"/>
  <c r="G146"/>
  <c r="I150"/>
  <c r="H150"/>
  <c r="G150"/>
  <c r="I155"/>
  <c r="G155"/>
  <c r="I156"/>
  <c r="H156"/>
  <c r="G156"/>
  <c r="I160"/>
  <c r="H160"/>
  <c r="G160"/>
  <c r="I164"/>
  <c r="H164"/>
  <c r="G164"/>
  <c r="I165"/>
  <c r="I166"/>
  <c r="H166"/>
  <c r="G166"/>
  <c r="I167"/>
  <c r="H167"/>
  <c r="G167"/>
  <c r="I168"/>
  <c r="H168"/>
  <c r="G168"/>
  <c r="I169"/>
  <c r="H169"/>
  <c r="G169"/>
  <c r="I171"/>
  <c r="G171"/>
  <c r="I172"/>
  <c r="H172"/>
  <c r="G172"/>
  <c r="I174"/>
  <c r="H174"/>
  <c r="G174"/>
  <c r="I175"/>
  <c r="H175"/>
  <c r="G175"/>
  <c r="I177"/>
  <c r="H177"/>
  <c r="G177"/>
  <c r="H178"/>
  <c r="G178"/>
  <c r="I179"/>
  <c r="H179"/>
  <c r="G179"/>
  <c r="I180"/>
  <c r="H180"/>
  <c r="G180"/>
  <c r="I183"/>
  <c r="H183"/>
  <c r="G183"/>
  <c r="I184"/>
  <c r="H184"/>
  <c r="G184"/>
  <c r="I185"/>
  <c r="H185"/>
  <c r="G185"/>
  <c r="I186"/>
  <c r="H186"/>
  <c r="G186"/>
  <c r="I188"/>
  <c r="H188"/>
  <c r="G188"/>
  <c r="I191"/>
  <c r="H191"/>
  <c r="G191"/>
  <c r="I192"/>
  <c r="H192"/>
  <c r="G192"/>
  <c r="I193"/>
  <c r="H193"/>
  <c r="G193"/>
  <c r="H194"/>
  <c r="G194"/>
  <c r="I196"/>
  <c r="G196"/>
  <c r="I197"/>
  <c r="H197"/>
  <c r="G197"/>
  <c r="I198"/>
  <c r="H198"/>
  <c r="G198"/>
  <c r="I200"/>
  <c r="H200"/>
  <c r="G200"/>
  <c r="I201"/>
  <c r="H201"/>
  <c r="G201"/>
  <c r="I202"/>
  <c r="H202"/>
  <c r="G202"/>
  <c r="I204"/>
  <c r="H204"/>
  <c r="I206"/>
  <c r="H206"/>
  <c r="G206"/>
  <c r="I207"/>
  <c r="H207"/>
  <c r="I208"/>
  <c r="H208"/>
  <c r="G208"/>
  <c r="I209"/>
  <c r="G209"/>
  <c r="I210"/>
  <c r="H210"/>
  <c r="G210"/>
  <c r="I211"/>
  <c r="H211"/>
  <c r="G211"/>
  <c r="I212"/>
  <c r="H212"/>
  <c r="G212"/>
  <c r="I213"/>
  <c r="H213"/>
  <c r="G213"/>
  <c r="I215"/>
  <c r="H215"/>
  <c r="G215"/>
  <c r="I216"/>
  <c r="H216"/>
  <c r="G216"/>
  <c r="H219"/>
  <c r="G219"/>
  <c r="H224"/>
  <c r="G224"/>
  <c r="I226"/>
  <c r="H226"/>
  <c r="G226"/>
  <c r="I227"/>
  <c r="H227"/>
  <c r="G227"/>
  <c r="I228"/>
  <c r="H228"/>
  <c r="G228"/>
  <c r="I229"/>
  <c r="H229"/>
  <c r="G229"/>
  <c r="I230"/>
  <c r="H230"/>
  <c r="G230"/>
  <c r="I234"/>
  <c r="H234"/>
  <c r="G234"/>
  <c r="H237"/>
  <c r="G237"/>
  <c r="I238"/>
  <c r="H238"/>
  <c r="G238"/>
  <c r="I239"/>
  <c r="H239"/>
  <c r="G239"/>
</calcChain>
</file>

<file path=xl/comments1.xml><?xml version="1.0" encoding="utf-8"?>
<comments xmlns="http://schemas.openxmlformats.org/spreadsheetml/2006/main">
  <authors>
    <author>Jose Manuel</author>
    <author/>
  </authors>
  <commentList>
    <comment ref="B8" authorId="0">
      <text>
        <r>
          <rPr>
            <b/>
            <sz val="9"/>
            <color indexed="81"/>
            <rFont val="Tahoma"/>
            <charset val="1"/>
          </rPr>
          <t>Jose Manuel:</t>
        </r>
        <r>
          <rPr>
            <sz val="9"/>
            <color indexed="81"/>
            <rFont val="Tahoma"/>
            <charset val="1"/>
          </rPr>
          <t xml:space="preserve">
Amaryllidaceae</t>
        </r>
      </text>
    </comment>
    <comment ref="J40" authorId="1">
      <text>
        <r>
          <rPr>
            <b/>
            <sz val="9"/>
            <color indexed="9"/>
            <rFont val="Tahoma"/>
            <family val="2"/>
            <charset val="1"/>
          </rPr>
          <t xml:space="preserve">Jose Manuel:
</t>
        </r>
        <r>
          <rPr>
            <sz val="9"/>
            <color indexed="9"/>
            <rFont val="Tahoma"/>
            <family val="2"/>
            <charset val="1"/>
          </rPr>
          <t>J[ Agronomy + Crop Science 074\ 198*106 "1999#</t>
        </r>
      </text>
    </comment>
    <comment ref="J111" authorId="1">
      <text>
        <r>
          <rPr>
            <b/>
            <sz val="9"/>
            <color indexed="9"/>
            <rFont val="Tahoma"/>
            <family val="2"/>
            <charset val="1"/>
          </rPr>
          <t xml:space="preserve">Jose Manuel:
</t>
        </r>
        <r>
          <rPr>
            <sz val="9"/>
            <color indexed="9"/>
            <rFont val="Tahoma"/>
            <family val="2"/>
            <charset val="1"/>
          </rPr>
          <t>PHOSPHORUS NUTRITION EFFECTS ON C-PARTITIONING IN SOYBEAN Plant Physiol. (1989) 89, 225-230</t>
        </r>
      </text>
    </comment>
    <comment ref="A172" authorId="0">
      <text>
        <r>
          <rPr>
            <b/>
            <sz val="9"/>
            <color indexed="81"/>
            <rFont val="Tahoma"/>
            <charset val="1"/>
          </rPr>
          <t>Jose Manuel:</t>
        </r>
        <r>
          <rPr>
            <sz val="9"/>
            <color indexed="81"/>
            <rFont val="Tahoma"/>
            <charset val="1"/>
          </rPr>
          <t xml:space="preserve">
I have corrected the spelling of the specific epithet</t>
        </r>
      </text>
    </comment>
    <comment ref="J190" authorId="1">
      <text>
        <r>
          <rPr>
            <b/>
            <sz val="9"/>
            <color indexed="9"/>
            <rFont val="Tahoma"/>
            <family val="2"/>
            <charset val="1"/>
          </rPr>
          <t xml:space="preserve">Jose Manuel:
</t>
        </r>
        <r>
          <rPr>
            <sz val="9"/>
            <color indexed="9"/>
            <rFont val="Tahoma"/>
            <family val="2"/>
            <charset val="1"/>
          </rPr>
          <t xml:space="preserve">Plant Physiol. (1997) 114: 467-474
Cold Acclimation and Freezing Tolerance
</t>
        </r>
      </text>
    </comment>
    <comment ref="J220" authorId="1">
      <text>
        <r>
          <rPr>
            <b/>
            <sz val="9"/>
            <color indexed="9"/>
            <rFont val="Tahoma"/>
            <family val="2"/>
            <charset val="1"/>
          </rPr>
          <t xml:space="preserve">Jose Manuel:
</t>
        </r>
        <r>
          <rPr>
            <sz val="9"/>
            <color indexed="9"/>
            <rFont val="Tahoma"/>
            <family val="2"/>
            <charset val="1"/>
          </rPr>
          <t>Field Crops Research 87 (2004) 179–193</t>
        </r>
      </text>
    </comment>
    <comment ref="J222" authorId="1">
      <text>
        <r>
          <rPr>
            <b/>
            <sz val="9"/>
            <color indexed="9"/>
            <rFont val="Tahoma"/>
            <family val="2"/>
            <charset val="1"/>
          </rPr>
          <t xml:space="preserve">Jose Manuel:
</t>
        </r>
        <r>
          <rPr>
            <sz val="9"/>
            <color indexed="9"/>
            <rFont val="Tahoma"/>
            <family val="2"/>
            <charset val="1"/>
          </rPr>
          <t xml:space="preserve">PHYSIOLOGIA PLANTARUM 78: 462-^67. Copenhagen 1990
</t>
        </r>
      </text>
    </comment>
  </commentList>
</comments>
</file>

<file path=xl/sharedStrings.xml><?xml version="1.0" encoding="utf-8"?>
<sst xmlns="http://schemas.openxmlformats.org/spreadsheetml/2006/main" count="1259" uniqueCount="501">
  <si>
    <t>Species list (following Flora Europaea)</t>
  </si>
  <si>
    <t>Malvaceae</t>
  </si>
  <si>
    <t>NA</t>
  </si>
  <si>
    <r>
      <t xml:space="preserve">Adonis aestivalis </t>
    </r>
    <r>
      <rPr>
        <b/>
        <sz val="12"/>
        <color indexed="8"/>
        <rFont val="Arial"/>
        <family val="2"/>
      </rPr>
      <t>L.</t>
    </r>
  </si>
  <si>
    <t>Ranunculaceae</t>
  </si>
  <si>
    <r>
      <t xml:space="preserve">Aethusa cynapium </t>
    </r>
    <r>
      <rPr>
        <b/>
        <sz val="12"/>
        <rFont val="Arial"/>
        <family val="2"/>
      </rPr>
      <t xml:space="preserve">L. </t>
    </r>
  </si>
  <si>
    <r>
      <t xml:space="preserve">Agrostemma githago </t>
    </r>
    <r>
      <rPr>
        <b/>
        <sz val="12"/>
        <rFont val="Arial"/>
        <family val="2"/>
      </rPr>
      <t xml:space="preserve">L. </t>
    </r>
  </si>
  <si>
    <t>Caryophyllaceae</t>
  </si>
  <si>
    <r>
      <t>Ajuga chamaepitys</t>
    </r>
    <r>
      <rPr>
        <b/>
        <sz val="12"/>
        <rFont val="Arial"/>
        <family val="2"/>
      </rPr>
      <t xml:space="preserve"> (L.) Schreber subsp. </t>
    </r>
    <r>
      <rPr>
        <b/>
        <i/>
        <sz val="12"/>
        <rFont val="Arial"/>
        <family val="2"/>
      </rPr>
      <t>chamaepytis</t>
    </r>
  </si>
  <si>
    <t>Labiatae</t>
  </si>
  <si>
    <t>1*</t>
  </si>
  <si>
    <r>
      <t xml:space="preserve">Allium cepa </t>
    </r>
    <r>
      <rPr>
        <b/>
        <sz val="12"/>
        <rFont val="Arial"/>
        <family val="2"/>
      </rPr>
      <t>L.</t>
    </r>
  </si>
  <si>
    <t>Liliaceae</t>
  </si>
  <si>
    <r>
      <t xml:space="preserve">Alopecurus myosuroides </t>
    </r>
    <r>
      <rPr>
        <b/>
        <sz val="12"/>
        <rFont val="Arial"/>
        <family val="2"/>
      </rPr>
      <t>Hudson</t>
    </r>
  </si>
  <si>
    <t>Gramineae</t>
  </si>
  <si>
    <r>
      <t>Alopecurus pratensis</t>
    </r>
    <r>
      <rPr>
        <b/>
        <sz val="12"/>
        <rFont val="Arial"/>
        <family val="2"/>
      </rPr>
      <t xml:space="preserve"> L. (</t>
    </r>
    <r>
      <rPr>
        <b/>
        <i/>
        <sz val="12"/>
        <rFont val="Arial"/>
        <family val="2"/>
      </rPr>
      <t>A. arvensis</t>
    </r>
    <r>
      <rPr>
        <b/>
        <sz val="12"/>
        <rFont val="Arial"/>
        <family val="2"/>
      </rPr>
      <t xml:space="preserve"> Gromov ex Trautv.)</t>
    </r>
  </si>
  <si>
    <r>
      <t xml:space="preserve">Amaranthus albus </t>
    </r>
    <r>
      <rPr>
        <b/>
        <sz val="12"/>
        <rFont val="Arial"/>
        <family val="2"/>
      </rPr>
      <t>L.</t>
    </r>
  </si>
  <si>
    <t>Amaranthaceae</t>
  </si>
  <si>
    <t>0*</t>
  </si>
  <si>
    <r>
      <t xml:space="preserve">Amaranthus blitoides </t>
    </r>
    <r>
      <rPr>
        <b/>
        <sz val="12"/>
        <rFont val="Arial"/>
        <family val="2"/>
      </rPr>
      <t>S. Watson</t>
    </r>
  </si>
  <si>
    <r>
      <t xml:space="preserve">Amaranthus deflexus </t>
    </r>
    <r>
      <rPr>
        <b/>
        <sz val="12"/>
        <rFont val="Arial"/>
        <family val="2"/>
      </rPr>
      <t>L.</t>
    </r>
  </si>
  <si>
    <r>
      <t xml:space="preserve">Amaranthus graecizans </t>
    </r>
    <r>
      <rPr>
        <b/>
        <sz val="12"/>
        <rFont val="Arial"/>
        <family val="2"/>
      </rPr>
      <t>L.</t>
    </r>
  </si>
  <si>
    <r>
      <t xml:space="preserve">Amaranthus lividus </t>
    </r>
    <r>
      <rPr>
        <b/>
        <sz val="12"/>
        <rFont val="Arial"/>
        <family val="2"/>
      </rPr>
      <t>L. (</t>
    </r>
    <r>
      <rPr>
        <b/>
        <i/>
        <sz val="12"/>
        <rFont val="Arial"/>
        <family val="2"/>
      </rPr>
      <t>A. blitum</t>
    </r>
    <r>
      <rPr>
        <b/>
        <sz val="12"/>
        <rFont val="Arial"/>
        <family val="2"/>
      </rPr>
      <t xml:space="preserve"> L.)</t>
    </r>
  </si>
  <si>
    <r>
      <t>Amar</t>
    </r>
    <r>
      <rPr>
        <b/>
        <i/>
        <sz val="12"/>
        <rFont val="Arial"/>
        <family val="2"/>
      </rPr>
      <t>anthus retroflexus</t>
    </r>
    <r>
      <rPr>
        <b/>
        <sz val="12"/>
        <rFont val="Arial"/>
        <family val="2"/>
      </rPr>
      <t xml:space="preserve"> L. subsp. </t>
    </r>
    <r>
      <rPr>
        <b/>
        <i/>
        <sz val="12"/>
        <rFont val="Arial"/>
        <family val="2"/>
      </rPr>
      <t xml:space="preserve">retroflexus </t>
    </r>
  </si>
  <si>
    <r>
      <t xml:space="preserve">Ambrosia artemisiifolia </t>
    </r>
    <r>
      <rPr>
        <b/>
        <sz val="12"/>
        <rFont val="Arial"/>
        <family val="2"/>
      </rPr>
      <t>L.</t>
    </r>
  </si>
  <si>
    <t>Compositae</t>
  </si>
  <si>
    <r>
      <t xml:space="preserve">Ammi majus </t>
    </r>
    <r>
      <rPr>
        <b/>
        <sz val="12"/>
        <rFont val="Arial"/>
        <family val="2"/>
      </rPr>
      <t>L.</t>
    </r>
  </si>
  <si>
    <t>Primulaceae</t>
  </si>
  <si>
    <r>
      <t xml:space="preserve">Anagallis foemina </t>
    </r>
    <r>
      <rPr>
        <b/>
        <sz val="12"/>
        <rFont val="Arial"/>
        <family val="2"/>
      </rPr>
      <t>Mill.</t>
    </r>
  </si>
  <si>
    <r>
      <t>Anchusa arvensis</t>
    </r>
    <r>
      <rPr>
        <b/>
        <sz val="12"/>
        <rFont val="Arial"/>
        <family val="2"/>
      </rPr>
      <t xml:space="preserve"> (L.) M. Bieb.</t>
    </r>
  </si>
  <si>
    <t>Boraginaceae</t>
  </si>
  <si>
    <r>
      <t xml:space="preserve">Anthemis arvensis </t>
    </r>
    <r>
      <rPr>
        <b/>
        <sz val="12"/>
        <rFont val="Arial"/>
        <family val="2"/>
      </rPr>
      <t>L.</t>
    </r>
  </si>
  <si>
    <r>
      <t>Antirrhinum orontium</t>
    </r>
    <r>
      <rPr>
        <b/>
        <sz val="12"/>
        <rFont val="Arial"/>
        <family val="2"/>
      </rPr>
      <t xml:space="preserve"> L. (</t>
    </r>
    <r>
      <rPr>
        <b/>
        <i/>
        <sz val="12"/>
        <rFont val="Arial"/>
        <family val="2"/>
      </rPr>
      <t>Misopates orontium</t>
    </r>
    <r>
      <rPr>
        <b/>
        <sz val="12"/>
        <rFont val="Arial"/>
        <family val="2"/>
      </rPr>
      <t xml:space="preserve"> (L.). Raf.)</t>
    </r>
  </si>
  <si>
    <t>Scrophulariaceae</t>
  </si>
  <si>
    <r>
      <t xml:space="preserve">Apera spica-venti </t>
    </r>
    <r>
      <rPr>
        <b/>
        <sz val="12"/>
        <rFont val="Arial"/>
        <family val="2"/>
      </rPr>
      <t>(L.) Beauv. (</t>
    </r>
    <r>
      <rPr>
        <b/>
        <i/>
        <sz val="12"/>
        <rFont val="Arial"/>
        <family val="2"/>
      </rPr>
      <t xml:space="preserve">Agrostis spica-venti </t>
    </r>
    <r>
      <rPr>
        <b/>
        <sz val="12"/>
        <rFont val="Arial"/>
        <family val="2"/>
      </rPr>
      <t xml:space="preserve">L.) </t>
    </r>
  </si>
  <si>
    <t>Aphanes arvensis L. (Alchemilla arvensis (L.) Scop.)</t>
  </si>
  <si>
    <t>Rosaceae</t>
  </si>
  <si>
    <r>
      <t>Arabidopsis thaliana</t>
    </r>
    <r>
      <rPr>
        <b/>
        <sz val="12"/>
        <rFont val="Arial"/>
        <family val="2"/>
      </rPr>
      <t xml:space="preserve"> (L.) Heynh. in Holl et Heynh.</t>
    </r>
  </si>
  <si>
    <t>Cruciferae</t>
  </si>
  <si>
    <t>0 (1)</t>
  </si>
  <si>
    <r>
      <t xml:space="preserve">Arrhenatherum elatius </t>
    </r>
    <r>
      <rPr>
        <b/>
        <sz val="12"/>
        <rFont val="Arial"/>
        <family val="2"/>
      </rPr>
      <t>(L.) Beauv. ex J. &amp; C.</t>
    </r>
  </si>
  <si>
    <t>3 (6)</t>
  </si>
  <si>
    <t>1 (0)</t>
  </si>
  <si>
    <r>
      <t xml:space="preserve">Artemisia vulgaris </t>
    </r>
    <r>
      <rPr>
        <b/>
        <sz val="12"/>
        <rFont val="Arial"/>
        <family val="2"/>
      </rPr>
      <t xml:space="preserve">L. </t>
    </r>
  </si>
  <si>
    <t>4 (5)</t>
  </si>
  <si>
    <r>
      <t xml:space="preserve">Arundo donax </t>
    </r>
    <r>
      <rPr>
        <b/>
        <sz val="12"/>
        <rFont val="Arial"/>
        <family val="2"/>
      </rPr>
      <t>L.</t>
    </r>
  </si>
  <si>
    <t>5*</t>
  </si>
  <si>
    <r>
      <t>Aster squamatus</t>
    </r>
    <r>
      <rPr>
        <b/>
        <sz val="12"/>
        <rFont val="Arial"/>
        <family val="2"/>
      </rPr>
      <t xml:space="preserve"> (Spreng.) Hieron. </t>
    </r>
  </si>
  <si>
    <t>7*</t>
  </si>
  <si>
    <r>
      <t xml:space="preserve">Atriplex hastata </t>
    </r>
    <r>
      <rPr>
        <b/>
        <sz val="12"/>
        <rFont val="Arial"/>
        <family val="2"/>
      </rPr>
      <t>L. (</t>
    </r>
    <r>
      <rPr>
        <b/>
        <i/>
        <sz val="12"/>
        <rFont val="Arial"/>
        <family val="2"/>
      </rPr>
      <t>Atriplex prostrata</t>
    </r>
    <r>
      <rPr>
        <b/>
        <sz val="12"/>
        <rFont val="Arial"/>
        <family val="2"/>
      </rPr>
      <t xml:space="preserve"> DC., </t>
    </r>
    <r>
      <rPr>
        <b/>
        <i/>
        <sz val="12"/>
        <rFont val="Arial"/>
        <family val="2"/>
      </rPr>
      <t>Atriplex latifolia</t>
    </r>
    <r>
      <rPr>
        <b/>
        <sz val="12"/>
        <rFont val="Arial"/>
        <family val="2"/>
      </rPr>
      <t xml:space="preserve"> Wahlenb.)</t>
    </r>
  </si>
  <si>
    <t>Chenopodiaceae</t>
  </si>
  <si>
    <r>
      <t xml:space="preserve">Atriplex patula </t>
    </r>
    <r>
      <rPr>
        <b/>
        <sz val="12"/>
        <rFont val="Arial"/>
        <family val="2"/>
      </rPr>
      <t>L.</t>
    </r>
  </si>
  <si>
    <r>
      <t xml:space="preserve">Avena fatua </t>
    </r>
    <r>
      <rPr>
        <b/>
        <sz val="12"/>
        <rFont val="Arial"/>
        <family val="2"/>
      </rPr>
      <t>L.</t>
    </r>
  </si>
  <si>
    <r>
      <t xml:space="preserve">Avena sativa </t>
    </r>
    <r>
      <rPr>
        <b/>
        <sz val="12"/>
        <rFont val="Arial"/>
        <family val="2"/>
      </rPr>
      <t>L.</t>
    </r>
  </si>
  <si>
    <r>
      <t xml:space="preserve">Barbarea vulgaris </t>
    </r>
    <r>
      <rPr>
        <b/>
        <sz val="12"/>
        <rFont val="Arial"/>
        <family val="2"/>
      </rPr>
      <t xml:space="preserve">R. Br. in Aiton (incl. </t>
    </r>
    <r>
      <rPr>
        <b/>
        <i/>
        <sz val="12"/>
        <rFont val="Arial"/>
        <family val="2"/>
      </rPr>
      <t>B. arcuata</t>
    </r>
    <r>
      <rPr>
        <b/>
        <sz val="12"/>
        <rFont val="Arial"/>
        <family val="2"/>
      </rPr>
      <t xml:space="preserve"> (Opiz. ex J. Presl.) Reichenb.)</t>
    </r>
  </si>
  <si>
    <r>
      <t xml:space="preserve">Bellis perennis </t>
    </r>
    <r>
      <rPr>
        <b/>
        <sz val="12"/>
        <rFont val="Arial"/>
        <family val="2"/>
      </rPr>
      <t>L.</t>
    </r>
  </si>
  <si>
    <t>3 (1)</t>
  </si>
  <si>
    <t>4 (11)</t>
  </si>
  <si>
    <r>
      <t xml:space="preserve">Beta vulgaris </t>
    </r>
    <r>
      <rPr>
        <b/>
        <sz val="12"/>
        <rFont val="Arial"/>
        <family val="2"/>
      </rPr>
      <t>L.</t>
    </r>
  </si>
  <si>
    <r>
      <t xml:space="preserve">Bilderdykia convolvulus </t>
    </r>
    <r>
      <rPr>
        <b/>
        <sz val="12"/>
        <rFont val="Arial"/>
        <family val="2"/>
      </rPr>
      <t xml:space="preserve">(L.) Dumort </t>
    </r>
    <r>
      <rPr>
        <b/>
        <i/>
        <sz val="12"/>
        <rFont val="Arial"/>
        <family val="2"/>
      </rPr>
      <t xml:space="preserve">(Polygonum convolvulus </t>
    </r>
    <r>
      <rPr>
        <b/>
        <sz val="12"/>
        <rFont val="Arial"/>
        <family val="2"/>
      </rPr>
      <t xml:space="preserve">L., </t>
    </r>
    <r>
      <rPr>
        <b/>
        <i/>
        <sz val="12"/>
        <rFont val="Arial"/>
        <family val="2"/>
      </rPr>
      <t xml:space="preserve">Fallopia convolvulus </t>
    </r>
    <r>
      <rPr>
        <b/>
        <sz val="12"/>
        <rFont val="Arial"/>
        <family val="2"/>
      </rPr>
      <t>(L.) A. Löve)</t>
    </r>
  </si>
  <si>
    <t>Polygonaceae</t>
  </si>
  <si>
    <r>
      <t>Borago officinalis</t>
    </r>
    <r>
      <rPr>
        <b/>
        <sz val="12"/>
        <rFont val="Arial"/>
        <family val="2"/>
      </rPr>
      <t xml:space="preserve"> L. </t>
    </r>
  </si>
  <si>
    <t>4 (7)</t>
  </si>
  <si>
    <r>
      <t xml:space="preserve">Brassica juncea </t>
    </r>
    <r>
      <rPr>
        <b/>
        <sz val="12"/>
        <rFont val="Arial"/>
        <family val="2"/>
      </rPr>
      <t>L.</t>
    </r>
  </si>
  <si>
    <r>
      <t>Brassica napus</t>
    </r>
    <r>
      <rPr>
        <b/>
        <sz val="12"/>
        <rFont val="Arial"/>
        <family val="2"/>
      </rPr>
      <t xml:space="preserve"> L. subsp. </t>
    </r>
    <r>
      <rPr>
        <b/>
        <i/>
        <sz val="12"/>
        <rFont val="Arial"/>
        <family val="2"/>
      </rPr>
      <t>napus</t>
    </r>
    <r>
      <rPr>
        <b/>
        <sz val="12"/>
        <rFont val="Arial"/>
        <family val="2"/>
      </rPr>
      <t xml:space="preserve"> (</t>
    </r>
    <r>
      <rPr>
        <b/>
        <i/>
        <sz val="12"/>
        <rFont val="Arial"/>
        <family val="2"/>
      </rPr>
      <t>Brassica napus</t>
    </r>
    <r>
      <rPr>
        <b/>
        <sz val="12"/>
        <rFont val="Arial"/>
        <family val="2"/>
      </rPr>
      <t xml:space="preserve"> L. subps. </t>
    </r>
    <r>
      <rPr>
        <b/>
        <i/>
        <sz val="12"/>
        <rFont val="Arial"/>
        <family val="2"/>
      </rPr>
      <t>oleifera</t>
    </r>
    <r>
      <rPr>
        <b/>
        <sz val="12"/>
        <rFont val="Arial"/>
        <family val="2"/>
      </rPr>
      <t xml:space="preserve"> DC.) </t>
    </r>
  </si>
  <si>
    <r>
      <t>Brassica nigra</t>
    </r>
    <r>
      <rPr>
        <b/>
        <sz val="12"/>
        <rFont val="Arial"/>
        <family val="2"/>
      </rPr>
      <t xml:space="preserve"> (L.) Koch</t>
    </r>
  </si>
  <si>
    <r>
      <t xml:space="preserve">Brassica oleracea </t>
    </r>
    <r>
      <rPr>
        <b/>
        <sz val="12"/>
        <rFont val="Arial"/>
        <family val="2"/>
      </rPr>
      <t>L.</t>
    </r>
  </si>
  <si>
    <r>
      <t>Brassica rapa</t>
    </r>
    <r>
      <rPr>
        <b/>
        <sz val="12"/>
        <rFont val="Arial"/>
        <family val="2"/>
      </rPr>
      <t xml:space="preserve"> L. </t>
    </r>
  </si>
  <si>
    <r>
      <t xml:space="preserve">Bromus hordeaceus </t>
    </r>
    <r>
      <rPr>
        <b/>
        <sz val="12"/>
        <rFont val="Arial"/>
        <family val="2"/>
      </rPr>
      <t>L.</t>
    </r>
  </si>
  <si>
    <r>
      <t xml:space="preserve">Bromus sterilis  </t>
    </r>
    <r>
      <rPr>
        <b/>
        <sz val="12"/>
        <rFont val="Arial"/>
        <family val="2"/>
      </rPr>
      <t>L</t>
    </r>
    <r>
      <rPr>
        <b/>
        <i/>
        <sz val="12"/>
        <rFont val="Arial"/>
        <family val="2"/>
      </rPr>
      <t>.</t>
    </r>
  </si>
  <si>
    <r>
      <t xml:space="preserve">Bromus tectorum </t>
    </r>
    <r>
      <rPr>
        <b/>
        <sz val="12"/>
        <rFont val="Arial"/>
        <family val="2"/>
      </rPr>
      <t>L.</t>
    </r>
  </si>
  <si>
    <r>
      <t xml:space="preserve">Calendula officinalis </t>
    </r>
    <r>
      <rPr>
        <b/>
        <sz val="12"/>
        <rFont val="Arial"/>
        <family val="2"/>
      </rPr>
      <t>L.</t>
    </r>
  </si>
  <si>
    <r>
      <t xml:space="preserve">Calystegia sepium </t>
    </r>
    <r>
      <rPr>
        <b/>
        <sz val="12"/>
        <rFont val="Arial"/>
        <family val="2"/>
      </rPr>
      <t>(L.) R. Br. (</t>
    </r>
    <r>
      <rPr>
        <b/>
        <i/>
        <sz val="12"/>
        <rFont val="Arial"/>
        <family val="2"/>
      </rPr>
      <t xml:space="preserve">Convolvulus sepium </t>
    </r>
    <r>
      <rPr>
        <b/>
        <sz val="12"/>
        <rFont val="Arial"/>
        <family val="2"/>
      </rPr>
      <t>L.)</t>
    </r>
  </si>
  <si>
    <t>Convolvulaceae</t>
  </si>
  <si>
    <r>
      <t>Campanula erinus</t>
    </r>
    <r>
      <rPr>
        <b/>
        <sz val="12"/>
        <rFont val="Arial"/>
        <family val="2"/>
      </rPr>
      <t xml:space="preserve"> L. </t>
    </r>
  </si>
  <si>
    <t>Campanulaceae</t>
  </si>
  <si>
    <r>
      <t xml:space="preserve">Capsella bursa pastoris </t>
    </r>
    <r>
      <rPr>
        <b/>
        <sz val="12"/>
        <rFont val="Arial"/>
        <family val="2"/>
      </rPr>
      <t>(L.) Medicus</t>
    </r>
  </si>
  <si>
    <r>
      <t xml:space="preserve">Cardamine hirsuta </t>
    </r>
    <r>
      <rPr>
        <b/>
        <sz val="12"/>
        <rFont val="Arial"/>
        <family val="2"/>
      </rPr>
      <t>L.</t>
    </r>
  </si>
  <si>
    <r>
      <t xml:space="preserve">Centaurium erythraea </t>
    </r>
    <r>
      <rPr>
        <b/>
        <sz val="12"/>
        <rFont val="Arial"/>
        <family val="2"/>
      </rPr>
      <t>Rafn</t>
    </r>
  </si>
  <si>
    <t>Gentianaceae</t>
  </si>
  <si>
    <r>
      <t xml:space="preserve">Cerastium fontanum </t>
    </r>
    <r>
      <rPr>
        <b/>
        <sz val="12"/>
        <rFont val="Arial"/>
        <family val="2"/>
      </rPr>
      <t xml:space="preserve">Baumg. </t>
    </r>
  </si>
  <si>
    <r>
      <t xml:space="preserve">Cerastium glomeratum </t>
    </r>
    <r>
      <rPr>
        <b/>
        <sz val="12"/>
        <rFont val="Arial"/>
        <family val="2"/>
      </rPr>
      <t>Thuill.</t>
    </r>
  </si>
  <si>
    <r>
      <t xml:space="preserve">Chenopodium album </t>
    </r>
    <r>
      <rPr>
        <b/>
        <sz val="12"/>
        <rFont val="Arial"/>
        <family val="2"/>
      </rPr>
      <t>L.</t>
    </r>
  </si>
  <si>
    <t>7 (5)</t>
  </si>
  <si>
    <t>6 (8)</t>
  </si>
  <si>
    <r>
      <t xml:space="preserve">Chenopodium hybridum </t>
    </r>
    <r>
      <rPr>
        <b/>
        <sz val="12"/>
        <rFont val="Arial"/>
        <family val="2"/>
      </rPr>
      <t xml:space="preserve">L. </t>
    </r>
  </si>
  <si>
    <r>
      <t>Chenopodium vulvaria</t>
    </r>
    <r>
      <rPr>
        <b/>
        <sz val="12"/>
        <rFont val="Arial"/>
        <family val="2"/>
      </rPr>
      <t xml:space="preserve"> L.</t>
    </r>
  </si>
  <si>
    <r>
      <t>Chondrilla juncea</t>
    </r>
    <r>
      <rPr>
        <b/>
        <sz val="12"/>
        <rFont val="Arial"/>
        <family val="2"/>
      </rPr>
      <t xml:space="preserve"> L.</t>
    </r>
  </si>
  <si>
    <r>
      <t>Chrysanthemum segetum</t>
    </r>
    <r>
      <rPr>
        <b/>
        <sz val="12"/>
        <rFont val="Arial"/>
        <family val="2"/>
      </rPr>
      <t xml:space="preserve"> L</t>
    </r>
    <r>
      <rPr>
        <b/>
        <i/>
        <sz val="12"/>
        <rFont val="Arial"/>
        <family val="2"/>
      </rPr>
      <t>.</t>
    </r>
  </si>
  <si>
    <r>
      <t xml:space="preserve">Cirsium arvense </t>
    </r>
    <r>
      <rPr>
        <b/>
        <sz val="12"/>
        <rFont val="Arial"/>
        <family val="2"/>
      </rPr>
      <t>(L.) Scop.</t>
    </r>
  </si>
  <si>
    <r>
      <t xml:space="preserve">Cirsium vulgare </t>
    </r>
    <r>
      <rPr>
        <b/>
        <sz val="12"/>
        <rFont val="Arial"/>
        <family val="2"/>
      </rPr>
      <t xml:space="preserve">(Savi) Ten. </t>
    </r>
  </si>
  <si>
    <r>
      <t>Consolida regalis</t>
    </r>
    <r>
      <rPr>
        <b/>
        <sz val="12"/>
        <rFont val="Arial"/>
        <family val="2"/>
      </rPr>
      <t xml:space="preserve"> S. F. Gray</t>
    </r>
  </si>
  <si>
    <r>
      <t xml:space="preserve">Convolvulus arvensis </t>
    </r>
    <r>
      <rPr>
        <b/>
        <sz val="12"/>
        <rFont val="Arial"/>
        <family val="2"/>
      </rPr>
      <t>L.</t>
    </r>
  </si>
  <si>
    <r>
      <t xml:space="preserve">Conyza canadensis </t>
    </r>
    <r>
      <rPr>
        <b/>
        <sz val="12"/>
        <rFont val="Arial"/>
        <family val="2"/>
      </rPr>
      <t>(L.) Cronq.</t>
    </r>
  </si>
  <si>
    <r>
      <t>Conyza floribunda</t>
    </r>
    <r>
      <rPr>
        <b/>
        <sz val="12"/>
        <rFont val="Arial"/>
        <family val="2"/>
      </rPr>
      <t xml:space="preserve"> Kunth in Humb., Bonpl. &amp; Kunth (</t>
    </r>
    <r>
      <rPr>
        <b/>
        <i/>
        <sz val="12"/>
        <rFont val="Arial"/>
        <family val="2"/>
      </rPr>
      <t>C. sumatrensis</t>
    </r>
    <r>
      <rPr>
        <b/>
        <sz val="12"/>
        <rFont val="Arial"/>
        <family val="2"/>
      </rPr>
      <t xml:space="preserve"> (Retz.) E. Walker)</t>
    </r>
  </si>
  <si>
    <r>
      <t xml:space="preserve">Coronopus didymus </t>
    </r>
    <r>
      <rPr>
        <b/>
        <sz val="12"/>
        <rFont val="Arial"/>
        <family val="2"/>
      </rPr>
      <t xml:space="preserve">(L.) Sm. </t>
    </r>
  </si>
  <si>
    <r>
      <t xml:space="preserve">Crepis foetida </t>
    </r>
    <r>
      <rPr>
        <b/>
        <sz val="12"/>
        <rFont val="Arial"/>
        <family val="2"/>
      </rPr>
      <t>L.</t>
    </r>
  </si>
  <si>
    <r>
      <t xml:space="preserve">Cynodon dactylon </t>
    </r>
    <r>
      <rPr>
        <b/>
        <sz val="12"/>
        <rFont val="Arial"/>
        <family val="2"/>
      </rPr>
      <t>(L.) Pers.</t>
    </r>
  </si>
  <si>
    <t>6 (1)</t>
  </si>
  <si>
    <t>5 (12)</t>
  </si>
  <si>
    <r>
      <t xml:space="preserve">Cyperus rotundus </t>
    </r>
    <r>
      <rPr>
        <b/>
        <sz val="12"/>
        <rFont val="Arial"/>
        <family val="2"/>
      </rPr>
      <t>L.</t>
    </r>
  </si>
  <si>
    <t>Cyperaceae</t>
  </si>
  <si>
    <r>
      <t xml:space="preserve">Datura stramonium </t>
    </r>
    <r>
      <rPr>
        <b/>
        <sz val="12"/>
        <rFont val="Arial"/>
        <family val="2"/>
      </rPr>
      <t>L.</t>
    </r>
  </si>
  <si>
    <t>Solanaceae</t>
  </si>
  <si>
    <r>
      <t xml:space="preserve">Daucus carota </t>
    </r>
    <r>
      <rPr>
        <b/>
        <sz val="12"/>
        <rFont val="Arial"/>
        <family val="2"/>
      </rPr>
      <t>L.</t>
    </r>
  </si>
  <si>
    <r>
      <t>Descurainia sophia</t>
    </r>
    <r>
      <rPr>
        <b/>
        <sz val="12"/>
        <rFont val="Arial"/>
        <family val="2"/>
      </rPr>
      <t xml:space="preserve"> (L.) Webb ex Prantl</t>
    </r>
  </si>
  <si>
    <r>
      <t>Digitalis purpurea</t>
    </r>
    <r>
      <rPr>
        <b/>
        <sz val="12"/>
        <rFont val="Arial"/>
        <family val="2"/>
      </rPr>
      <t xml:space="preserve"> L.</t>
    </r>
  </si>
  <si>
    <r>
      <t>Digitaria sanguinalis</t>
    </r>
    <r>
      <rPr>
        <b/>
        <sz val="12"/>
        <rFont val="Arial"/>
        <family val="2"/>
      </rPr>
      <t xml:space="preserve"> (L.) Scop.</t>
    </r>
  </si>
  <si>
    <r>
      <t>Diplotaxis erucoides</t>
    </r>
    <r>
      <rPr>
        <b/>
        <sz val="12"/>
        <rFont val="Arial"/>
        <family val="2"/>
      </rPr>
      <t xml:space="preserve"> (L.) DC. </t>
    </r>
  </si>
  <si>
    <t>3*</t>
  </si>
  <si>
    <r>
      <t>Echinochloa crus-galli</t>
    </r>
    <r>
      <rPr>
        <b/>
        <sz val="12"/>
        <rFont val="Arial"/>
        <family val="2"/>
      </rPr>
      <t xml:space="preserve"> (L.) Beauv. </t>
    </r>
  </si>
  <si>
    <r>
      <t>Elymus repens</t>
    </r>
    <r>
      <rPr>
        <b/>
        <sz val="12"/>
        <rFont val="Arial"/>
        <family val="2"/>
      </rPr>
      <t xml:space="preserve"> (L.) Gould (</t>
    </r>
    <r>
      <rPr>
        <b/>
        <i/>
        <sz val="12"/>
        <rFont val="Arial"/>
        <family val="2"/>
      </rPr>
      <t xml:space="preserve">Agropyron repens </t>
    </r>
    <r>
      <rPr>
        <b/>
        <sz val="12"/>
        <rFont val="Arial"/>
        <family val="2"/>
      </rPr>
      <t xml:space="preserve">(L.) Beauv., </t>
    </r>
    <r>
      <rPr>
        <b/>
        <i/>
        <sz val="12"/>
        <rFont val="Arial"/>
        <family val="2"/>
      </rPr>
      <t>Elytrigia repens</t>
    </r>
    <r>
      <rPr>
        <b/>
        <sz val="12"/>
        <rFont val="Arial"/>
        <family val="2"/>
      </rPr>
      <t xml:space="preserve"> Nevski)</t>
    </r>
  </si>
  <si>
    <r>
      <t xml:space="preserve">Epilobium tetragonum </t>
    </r>
    <r>
      <rPr>
        <b/>
        <sz val="12"/>
        <rFont val="Arial"/>
        <family val="2"/>
      </rPr>
      <t>L</t>
    </r>
    <r>
      <rPr>
        <b/>
        <i/>
        <sz val="12"/>
        <rFont val="Arial"/>
        <family val="2"/>
      </rPr>
      <t>.</t>
    </r>
  </si>
  <si>
    <t>Onagraceae</t>
  </si>
  <si>
    <r>
      <t xml:space="preserve">Equisetum arvense </t>
    </r>
    <r>
      <rPr>
        <b/>
        <sz val="12"/>
        <rFont val="Arial"/>
        <family val="2"/>
      </rPr>
      <t>L.</t>
    </r>
  </si>
  <si>
    <t>Equisetaceae</t>
  </si>
  <si>
    <t>Spora</t>
  </si>
  <si>
    <r>
      <t>Erysimum cheiranthoides</t>
    </r>
    <r>
      <rPr>
        <b/>
        <sz val="12"/>
        <rFont val="Arial"/>
        <family val="2"/>
      </rPr>
      <t xml:space="preserve"> L. </t>
    </r>
  </si>
  <si>
    <r>
      <t xml:space="preserve">Euphorbia exigua </t>
    </r>
    <r>
      <rPr>
        <b/>
        <sz val="12"/>
        <rFont val="Arial"/>
        <family val="2"/>
      </rPr>
      <t>L.</t>
    </r>
  </si>
  <si>
    <t>Euphorbiaceae</t>
  </si>
  <si>
    <r>
      <t>Euphorbia falcata</t>
    </r>
    <r>
      <rPr>
        <b/>
        <sz val="12"/>
        <rFont val="Arial"/>
        <family val="2"/>
      </rPr>
      <t xml:space="preserve"> L. </t>
    </r>
  </si>
  <si>
    <r>
      <t xml:space="preserve">Euphorbia helioscopia </t>
    </r>
    <r>
      <rPr>
        <b/>
        <sz val="12"/>
        <rFont val="Arial"/>
        <family val="2"/>
      </rPr>
      <t>L.</t>
    </r>
  </si>
  <si>
    <r>
      <t xml:space="preserve">Euphorbia prostrata </t>
    </r>
    <r>
      <rPr>
        <b/>
        <sz val="12"/>
        <rFont val="Arial"/>
        <family val="2"/>
      </rPr>
      <t>Aiton</t>
    </r>
  </si>
  <si>
    <t>8 (5)</t>
  </si>
  <si>
    <r>
      <t>Festuca rubra</t>
    </r>
    <r>
      <rPr>
        <b/>
        <sz val="12"/>
        <rFont val="Arial"/>
        <family val="2"/>
      </rPr>
      <t xml:space="preserve"> L.</t>
    </r>
  </si>
  <si>
    <r>
      <t>Filago pyramidata</t>
    </r>
    <r>
      <rPr>
        <b/>
        <sz val="12"/>
        <rFont val="Arial"/>
        <family val="2"/>
      </rPr>
      <t xml:space="preserve"> L. </t>
    </r>
  </si>
  <si>
    <r>
      <t xml:space="preserve">Fragaria vesca </t>
    </r>
    <r>
      <rPr>
        <b/>
        <sz val="12"/>
        <rFont val="Arial"/>
        <family val="2"/>
      </rPr>
      <t>L.</t>
    </r>
  </si>
  <si>
    <r>
      <t xml:space="preserve">Fumaria officinalis </t>
    </r>
    <r>
      <rPr>
        <b/>
        <sz val="12"/>
        <rFont val="Arial"/>
        <family val="2"/>
      </rPr>
      <t>L.</t>
    </r>
  </si>
  <si>
    <t>Fumariaceae</t>
  </si>
  <si>
    <r>
      <t>Fumaria parviflora</t>
    </r>
    <r>
      <rPr>
        <b/>
        <sz val="12"/>
        <rFont val="Arial"/>
        <family val="2"/>
      </rPr>
      <t xml:space="preserve"> Lam.</t>
    </r>
  </si>
  <si>
    <r>
      <t xml:space="preserve">Galeopsis angustifolia </t>
    </r>
    <r>
      <rPr>
        <b/>
        <sz val="12"/>
        <rFont val="Arial"/>
        <family val="2"/>
      </rPr>
      <t>Ehrh. ex Hoffm.</t>
    </r>
  </si>
  <si>
    <r>
      <t xml:space="preserve">Galeopsis tetrahit </t>
    </r>
    <r>
      <rPr>
        <b/>
        <sz val="12"/>
        <rFont val="Arial"/>
        <family val="2"/>
      </rPr>
      <t>L.</t>
    </r>
  </si>
  <si>
    <r>
      <t>Galinsoga ciliata</t>
    </r>
    <r>
      <rPr>
        <b/>
        <sz val="12"/>
        <rFont val="Arial"/>
        <family val="2"/>
      </rPr>
      <t xml:space="preserve"> (Ravin) S. F. Blake</t>
    </r>
  </si>
  <si>
    <r>
      <t xml:space="preserve">Galinsoga parviflora </t>
    </r>
    <r>
      <rPr>
        <b/>
        <sz val="12"/>
        <rFont val="Arial"/>
        <family val="2"/>
      </rPr>
      <t>Cav.</t>
    </r>
  </si>
  <si>
    <r>
      <t xml:space="preserve">Galium aparine </t>
    </r>
    <r>
      <rPr>
        <b/>
        <sz val="12"/>
        <rFont val="Arial"/>
        <family val="2"/>
      </rPr>
      <t>L.</t>
    </r>
  </si>
  <si>
    <t>Rubiaceae</t>
  </si>
  <si>
    <r>
      <t xml:space="preserve">Geranium dissectum </t>
    </r>
    <r>
      <rPr>
        <b/>
        <sz val="12"/>
        <rFont val="Arial"/>
        <family val="2"/>
      </rPr>
      <t>L.</t>
    </r>
  </si>
  <si>
    <t>Geraniaceae</t>
  </si>
  <si>
    <t>4 (6-7)</t>
  </si>
  <si>
    <r>
      <t xml:space="preserve">Geranium molle </t>
    </r>
    <r>
      <rPr>
        <b/>
        <sz val="12"/>
        <rFont val="Arial"/>
        <family val="2"/>
      </rPr>
      <t>L.</t>
    </r>
  </si>
  <si>
    <r>
      <t xml:space="preserve">Glycine max </t>
    </r>
    <r>
      <rPr>
        <b/>
        <sz val="12"/>
        <rFont val="Arial"/>
        <family val="2"/>
      </rPr>
      <t xml:space="preserve">(L.) Merr. </t>
    </r>
  </si>
  <si>
    <t>Leguminosae</t>
  </si>
  <si>
    <r>
      <t xml:space="preserve">Hedysarum coronarium </t>
    </r>
    <r>
      <rPr>
        <b/>
        <sz val="12"/>
        <rFont val="Arial"/>
        <family val="2"/>
      </rPr>
      <t>L.</t>
    </r>
  </si>
  <si>
    <r>
      <t xml:space="preserve">Helianthus annuus </t>
    </r>
    <r>
      <rPr>
        <b/>
        <sz val="12"/>
        <rFont val="Arial"/>
        <family val="2"/>
      </rPr>
      <t>L.</t>
    </r>
  </si>
  <si>
    <r>
      <t xml:space="preserve">Helianthus tuberosus </t>
    </r>
    <r>
      <rPr>
        <b/>
        <sz val="12"/>
        <rFont val="Arial"/>
        <family val="2"/>
      </rPr>
      <t>L.</t>
    </r>
  </si>
  <si>
    <r>
      <t xml:space="preserve">Heliotropium europaeum </t>
    </r>
    <r>
      <rPr>
        <b/>
        <sz val="12"/>
        <rFont val="Arial"/>
        <family val="2"/>
      </rPr>
      <t>L.</t>
    </r>
  </si>
  <si>
    <r>
      <t xml:space="preserve">Helleborus viridis </t>
    </r>
    <r>
      <rPr>
        <b/>
        <sz val="12"/>
        <rFont val="Arial"/>
        <family val="2"/>
      </rPr>
      <t>L.</t>
    </r>
  </si>
  <si>
    <r>
      <t xml:space="preserve">Herniaria hirsuta </t>
    </r>
    <r>
      <rPr>
        <b/>
        <sz val="12"/>
        <rFont val="Arial"/>
        <family val="2"/>
      </rPr>
      <t>L.</t>
    </r>
  </si>
  <si>
    <r>
      <t>Holcus mollis</t>
    </r>
    <r>
      <rPr>
        <b/>
        <sz val="12"/>
        <rFont val="Arial"/>
        <family val="2"/>
      </rPr>
      <t xml:space="preserve"> L.</t>
    </r>
  </si>
  <si>
    <r>
      <t xml:space="preserve">Hordeum murinum </t>
    </r>
    <r>
      <rPr>
        <b/>
        <sz val="12"/>
        <rFont val="Arial"/>
        <family val="2"/>
      </rPr>
      <t>L.</t>
    </r>
  </si>
  <si>
    <r>
      <t>Hordeum secalinum</t>
    </r>
    <r>
      <rPr>
        <b/>
        <sz val="12"/>
        <rFont val="Arial"/>
        <family val="2"/>
      </rPr>
      <t xml:space="preserve"> Schreber</t>
    </r>
  </si>
  <si>
    <r>
      <t>Hordeum vulgare</t>
    </r>
    <r>
      <rPr>
        <b/>
        <sz val="12"/>
        <rFont val="Arial"/>
        <family val="2"/>
      </rPr>
      <t xml:space="preserve"> L</t>
    </r>
    <r>
      <rPr>
        <b/>
        <i/>
        <sz val="12"/>
        <rFont val="Arial"/>
        <family val="2"/>
      </rPr>
      <t>.</t>
    </r>
  </si>
  <si>
    <r>
      <t xml:space="preserve">Juncus bufonius </t>
    </r>
    <r>
      <rPr>
        <b/>
        <sz val="12"/>
        <rFont val="Arial"/>
        <family val="2"/>
      </rPr>
      <t>L.</t>
    </r>
  </si>
  <si>
    <t>Juncaceae</t>
  </si>
  <si>
    <t>7 (10)</t>
  </si>
  <si>
    <r>
      <t xml:space="preserve">Kickxia elatine </t>
    </r>
    <r>
      <rPr>
        <b/>
        <sz val="12"/>
        <rFont val="Arial"/>
        <family val="2"/>
      </rPr>
      <t>(L.) Dumort.</t>
    </r>
  </si>
  <si>
    <t>Scrophularieceae</t>
  </si>
  <si>
    <r>
      <t xml:space="preserve">Kickxia spuria </t>
    </r>
    <r>
      <rPr>
        <b/>
        <sz val="12"/>
        <rFont val="Arial"/>
        <family val="2"/>
      </rPr>
      <t>(L.) Dumort.</t>
    </r>
  </si>
  <si>
    <r>
      <t xml:space="preserve">Lactuca serriola </t>
    </r>
    <r>
      <rPr>
        <b/>
        <sz val="12"/>
        <rFont val="Arial"/>
        <family val="2"/>
      </rPr>
      <t xml:space="preserve">L. </t>
    </r>
  </si>
  <si>
    <r>
      <t xml:space="preserve">Lamium  amplexicaule </t>
    </r>
    <r>
      <rPr>
        <b/>
        <sz val="12"/>
        <rFont val="Arial"/>
        <family val="2"/>
      </rPr>
      <t>L.</t>
    </r>
  </si>
  <si>
    <t>3( 6 - 8)</t>
  </si>
  <si>
    <r>
      <t xml:space="preserve">Lamium purpureum </t>
    </r>
    <r>
      <rPr>
        <b/>
        <sz val="12"/>
        <rFont val="Arial"/>
        <family val="2"/>
      </rPr>
      <t>L.</t>
    </r>
  </si>
  <si>
    <t xml:space="preserve">Lapsana communis L. </t>
  </si>
  <si>
    <r>
      <t>Legousia speculum-veneris (</t>
    </r>
    <r>
      <rPr>
        <b/>
        <sz val="12"/>
        <rFont val="Arial"/>
        <family val="2"/>
      </rPr>
      <t>L.) Chaix</t>
    </r>
  </si>
  <si>
    <r>
      <t xml:space="preserve">Lepidium campestre </t>
    </r>
    <r>
      <rPr>
        <b/>
        <sz val="12"/>
        <rFont val="Arial"/>
        <family val="2"/>
      </rPr>
      <t>(L.) R. Br.</t>
    </r>
    <r>
      <rPr>
        <b/>
        <i/>
        <sz val="12"/>
        <rFont val="Arial"/>
        <family val="2"/>
      </rPr>
      <t xml:space="preserve"> </t>
    </r>
  </si>
  <si>
    <r>
      <t xml:space="preserve">Lolium perenne </t>
    </r>
    <r>
      <rPr>
        <b/>
        <sz val="12"/>
        <rFont val="Arial"/>
        <family val="2"/>
      </rPr>
      <t>L.</t>
    </r>
  </si>
  <si>
    <r>
      <t xml:space="preserve">Lolium rigidum </t>
    </r>
    <r>
      <rPr>
        <b/>
        <sz val="12"/>
        <rFont val="Arial"/>
        <family val="2"/>
      </rPr>
      <t>Gaudin.</t>
    </r>
  </si>
  <si>
    <r>
      <t xml:space="preserve">Lotus corniculatus </t>
    </r>
    <r>
      <rPr>
        <b/>
        <sz val="12"/>
        <rFont val="Arial"/>
        <family val="2"/>
      </rPr>
      <t>L.</t>
    </r>
  </si>
  <si>
    <r>
      <t xml:space="preserve">Lythrum hyssopifolia </t>
    </r>
    <r>
      <rPr>
        <b/>
        <sz val="12"/>
        <rFont val="Arial"/>
        <family val="2"/>
      </rPr>
      <t>L.</t>
    </r>
  </si>
  <si>
    <t>Lythraceae</t>
  </si>
  <si>
    <r>
      <t xml:space="preserve">Malva sylvestris </t>
    </r>
    <r>
      <rPr>
        <b/>
        <sz val="12"/>
        <rFont val="Arial"/>
        <family val="2"/>
      </rPr>
      <t>L.</t>
    </r>
  </si>
  <si>
    <r>
      <t>Matricaria suaveolens</t>
    </r>
    <r>
      <rPr>
        <b/>
        <sz val="12"/>
        <rFont val="Arial"/>
        <family val="2"/>
      </rPr>
      <t xml:space="preserve"> (</t>
    </r>
    <r>
      <rPr>
        <b/>
        <i/>
        <sz val="12"/>
        <rFont val="Arial"/>
        <family val="2"/>
      </rPr>
      <t>Chamomilla suaveolens</t>
    </r>
    <r>
      <rPr>
        <b/>
        <sz val="12"/>
        <rFont val="Arial"/>
        <family val="2"/>
      </rPr>
      <t xml:space="preserve"> (Pursh) Rydb. Or </t>
    </r>
    <r>
      <rPr>
        <b/>
        <i/>
        <sz val="12"/>
        <rFont val="Arial"/>
        <family val="2"/>
      </rPr>
      <t>Ch. recutita</t>
    </r>
    <r>
      <rPr>
        <b/>
        <sz val="12"/>
        <rFont val="Arial"/>
        <family val="2"/>
      </rPr>
      <t xml:space="preserve"> (L.) Rauschert</t>
    </r>
  </si>
  <si>
    <r>
      <t>Medicago lupulina</t>
    </r>
    <r>
      <rPr>
        <b/>
        <sz val="12"/>
        <rFont val="Arial"/>
        <family val="2"/>
      </rPr>
      <t xml:space="preserve"> L.</t>
    </r>
  </si>
  <si>
    <r>
      <t xml:space="preserve">Medicago polymorpha </t>
    </r>
    <r>
      <rPr>
        <b/>
        <sz val="12"/>
        <rFont val="Arial"/>
        <family val="2"/>
      </rPr>
      <t>L.</t>
    </r>
  </si>
  <si>
    <r>
      <t>Medicago sativa</t>
    </r>
    <r>
      <rPr>
        <b/>
        <sz val="12"/>
        <rFont val="Arial"/>
        <family val="2"/>
      </rPr>
      <t xml:space="preserve"> L.</t>
    </r>
  </si>
  <si>
    <r>
      <t>Mentha arvensis</t>
    </r>
    <r>
      <rPr>
        <b/>
        <sz val="12"/>
        <rFont val="Arial"/>
        <family val="2"/>
      </rPr>
      <t xml:space="preserve"> L.</t>
    </r>
  </si>
  <si>
    <r>
      <t xml:space="preserve">Mercurialis annua </t>
    </r>
    <r>
      <rPr>
        <b/>
        <sz val="12"/>
        <rFont val="Arial"/>
        <family val="2"/>
      </rPr>
      <t>L.</t>
    </r>
  </si>
  <si>
    <r>
      <t xml:space="preserve">Mercurialis perennis </t>
    </r>
    <r>
      <rPr>
        <b/>
        <sz val="12"/>
        <rFont val="Arial"/>
        <family val="2"/>
      </rPr>
      <t>L.</t>
    </r>
  </si>
  <si>
    <r>
      <t>Mycelis muralis (L.) Dumort (Lactuca muralis (</t>
    </r>
    <r>
      <rPr>
        <b/>
        <sz val="12"/>
        <rFont val="Arial"/>
        <family val="2"/>
      </rPr>
      <t>L.) Gaertner)</t>
    </r>
  </si>
  <si>
    <r>
      <t xml:space="preserve">Myagrum perfoliatum </t>
    </r>
    <r>
      <rPr>
        <b/>
        <sz val="12"/>
        <rFont val="Arial"/>
        <family val="2"/>
      </rPr>
      <t>L.</t>
    </r>
  </si>
  <si>
    <r>
      <t xml:space="preserve">Myosotis arvensis </t>
    </r>
    <r>
      <rPr>
        <b/>
        <sz val="12"/>
        <rFont val="Arial"/>
        <family val="2"/>
      </rPr>
      <t>(L.) Hill</t>
    </r>
  </si>
  <si>
    <r>
      <t>Oxalis corniculata</t>
    </r>
    <r>
      <rPr>
        <b/>
        <sz val="12"/>
        <rFont val="Arial"/>
        <family val="2"/>
      </rPr>
      <t xml:space="preserve"> L. </t>
    </r>
  </si>
  <si>
    <t>Oxalidaceae</t>
  </si>
  <si>
    <r>
      <t xml:space="preserve">Panicum capillare </t>
    </r>
    <r>
      <rPr>
        <b/>
        <sz val="12"/>
        <rFont val="Arial"/>
        <family val="2"/>
      </rPr>
      <t>L.</t>
    </r>
  </si>
  <si>
    <r>
      <t xml:space="preserve">Panicum dichotomiflorum </t>
    </r>
    <r>
      <rPr>
        <b/>
        <sz val="12"/>
        <rFont val="Arial"/>
        <family val="2"/>
      </rPr>
      <t>Michx</t>
    </r>
  </si>
  <si>
    <t xml:space="preserve">Panicum virgatum L. </t>
  </si>
  <si>
    <t>4*</t>
  </si>
  <si>
    <r>
      <t xml:space="preserve">Papaver rhoeas </t>
    </r>
    <r>
      <rPr>
        <b/>
        <sz val="12"/>
        <rFont val="Arial"/>
        <family val="2"/>
      </rPr>
      <t>L.</t>
    </r>
  </si>
  <si>
    <t>Papaveraceae</t>
  </si>
  <si>
    <r>
      <t xml:space="preserve">Pastinaca sativa </t>
    </r>
    <r>
      <rPr>
        <b/>
        <sz val="12"/>
        <rFont val="Arial"/>
        <family val="2"/>
      </rPr>
      <t>L.</t>
    </r>
  </si>
  <si>
    <r>
      <t xml:space="preserve">Phacelia tanacetifolia </t>
    </r>
    <r>
      <rPr>
        <b/>
        <sz val="12"/>
        <rFont val="Arial"/>
        <family val="2"/>
      </rPr>
      <t>Bentham</t>
    </r>
  </si>
  <si>
    <t>Hydrophyllaceae</t>
  </si>
  <si>
    <r>
      <t xml:space="preserve">Phalaris canariensis </t>
    </r>
    <r>
      <rPr>
        <b/>
        <sz val="12"/>
        <rFont val="Arial"/>
        <family val="2"/>
      </rPr>
      <t>L.</t>
    </r>
  </si>
  <si>
    <r>
      <t xml:space="preserve">Phaseolus vulgaris </t>
    </r>
    <r>
      <rPr>
        <b/>
        <sz val="12"/>
        <rFont val="Arial"/>
        <family val="2"/>
      </rPr>
      <t>L.</t>
    </r>
  </si>
  <si>
    <t>Phleum pratense L.</t>
  </si>
  <si>
    <t xml:space="preserve">4 (6) </t>
  </si>
  <si>
    <r>
      <t xml:space="preserve">Picris echioides </t>
    </r>
    <r>
      <rPr>
        <b/>
        <sz val="12"/>
        <rFont val="Arial"/>
        <family val="2"/>
      </rPr>
      <t>L.</t>
    </r>
  </si>
  <si>
    <r>
      <t xml:space="preserve">Plantago lanceolata </t>
    </r>
    <r>
      <rPr>
        <b/>
        <sz val="12"/>
        <rFont val="Arial"/>
        <family val="2"/>
      </rPr>
      <t>L.</t>
    </r>
  </si>
  <si>
    <t>Plantaginaceae</t>
  </si>
  <si>
    <r>
      <t>Plantago major</t>
    </r>
    <r>
      <rPr>
        <b/>
        <sz val="12"/>
        <rFont val="Arial"/>
        <family val="2"/>
      </rPr>
      <t xml:space="preserve"> L. subsp.</t>
    </r>
    <r>
      <rPr>
        <b/>
        <i/>
        <sz val="12"/>
        <rFont val="Arial"/>
        <family val="2"/>
      </rPr>
      <t xml:space="preserve"> intermedia </t>
    </r>
    <r>
      <rPr>
        <b/>
        <sz val="12"/>
        <rFont val="Arial"/>
        <family val="2"/>
      </rPr>
      <t>(DC.) Arcangeli</t>
    </r>
  </si>
  <si>
    <r>
      <t xml:space="preserve">Plantago media </t>
    </r>
    <r>
      <rPr>
        <b/>
        <sz val="12"/>
        <rFont val="Arial"/>
        <family val="2"/>
      </rPr>
      <t>L.</t>
    </r>
  </si>
  <si>
    <r>
      <t xml:space="preserve">Poa annua </t>
    </r>
    <r>
      <rPr>
        <b/>
        <sz val="12"/>
        <rFont val="Arial"/>
        <family val="2"/>
      </rPr>
      <t>L.</t>
    </r>
  </si>
  <si>
    <r>
      <t xml:space="preserve">Poa trivialis </t>
    </r>
    <r>
      <rPr>
        <b/>
        <sz val="12"/>
        <rFont val="Arial"/>
        <family val="2"/>
      </rPr>
      <t>L.</t>
    </r>
  </si>
  <si>
    <r>
      <t>Polygonum arenastrum</t>
    </r>
    <r>
      <rPr>
        <b/>
        <sz val="12"/>
        <rFont val="Arial"/>
        <family val="2"/>
      </rPr>
      <t xml:space="preserve"> Boreau</t>
    </r>
  </si>
  <si>
    <r>
      <t xml:space="preserve">Polygonum aviculare </t>
    </r>
    <r>
      <rPr>
        <b/>
        <sz val="12"/>
        <rFont val="Arial"/>
        <family val="2"/>
      </rPr>
      <t>L.</t>
    </r>
  </si>
  <si>
    <r>
      <t xml:space="preserve">Portulaca oleracea </t>
    </r>
    <r>
      <rPr>
        <b/>
        <sz val="12"/>
        <rFont val="Arial"/>
        <family val="2"/>
      </rPr>
      <t>L.</t>
    </r>
  </si>
  <si>
    <t>Portulacaceae</t>
  </si>
  <si>
    <t xml:space="preserve">Potentilla anserina L. </t>
  </si>
  <si>
    <r>
      <t>Ranunculus acris</t>
    </r>
    <r>
      <rPr>
        <b/>
        <sz val="12"/>
        <rFont val="Arial"/>
        <family val="2"/>
      </rPr>
      <t xml:space="preserve"> L. (</t>
    </r>
    <r>
      <rPr>
        <b/>
        <i/>
        <sz val="12"/>
        <rFont val="Arial"/>
        <family val="2"/>
      </rPr>
      <t>R. acer</t>
    </r>
    <r>
      <rPr>
        <b/>
        <sz val="12"/>
        <rFont val="Arial"/>
        <family val="2"/>
      </rPr>
      <t xml:space="preserve"> auct.)</t>
    </r>
  </si>
  <si>
    <r>
      <t xml:space="preserve">Ranunculus arvensis </t>
    </r>
    <r>
      <rPr>
        <b/>
        <sz val="12"/>
        <rFont val="Arial"/>
        <family val="2"/>
      </rPr>
      <t>L.</t>
    </r>
  </si>
  <si>
    <r>
      <t xml:space="preserve">Raphanus raphanistrum </t>
    </r>
    <r>
      <rPr>
        <b/>
        <sz val="12"/>
        <rFont val="Arial"/>
        <family val="2"/>
      </rPr>
      <t>L.</t>
    </r>
  </si>
  <si>
    <r>
      <t xml:space="preserve">Rapistrum rugosum </t>
    </r>
    <r>
      <rPr>
        <b/>
        <sz val="12"/>
        <rFont val="Arial"/>
        <family val="2"/>
      </rPr>
      <t>L.</t>
    </r>
  </si>
  <si>
    <r>
      <t>Reseda phyteuma</t>
    </r>
    <r>
      <rPr>
        <b/>
        <sz val="12"/>
        <rFont val="Arial"/>
        <family val="2"/>
      </rPr>
      <t xml:space="preserve"> L.</t>
    </r>
  </si>
  <si>
    <t>Resedaceae</t>
  </si>
  <si>
    <t xml:space="preserve">Rumex acetosa L. </t>
  </si>
  <si>
    <r>
      <t xml:space="preserve">Rumex acetosella </t>
    </r>
    <r>
      <rPr>
        <b/>
        <sz val="12"/>
        <rFont val="Arial"/>
        <family val="2"/>
      </rPr>
      <t>L.</t>
    </r>
  </si>
  <si>
    <r>
      <t xml:space="preserve">Rumex crispus </t>
    </r>
    <r>
      <rPr>
        <b/>
        <sz val="12"/>
        <rFont val="Arial"/>
        <family val="2"/>
      </rPr>
      <t>L.</t>
    </r>
  </si>
  <si>
    <r>
      <t>Sagina apetala</t>
    </r>
    <r>
      <rPr>
        <b/>
        <sz val="12"/>
        <rFont val="Arial"/>
        <family val="2"/>
      </rPr>
      <t xml:space="preserve"> Ard. </t>
    </r>
  </si>
  <si>
    <r>
      <t xml:space="preserve">Samolus valerandi </t>
    </r>
    <r>
      <rPr>
        <b/>
        <sz val="12"/>
        <rFont val="Arial"/>
        <family val="2"/>
      </rPr>
      <t>L.</t>
    </r>
  </si>
  <si>
    <r>
      <t>Scirpus holoschoenus</t>
    </r>
    <r>
      <rPr>
        <b/>
        <sz val="12"/>
        <rFont val="Arial"/>
        <family val="2"/>
      </rPr>
      <t xml:space="preserve"> L. </t>
    </r>
  </si>
  <si>
    <t>Secale cereale L.</t>
  </si>
  <si>
    <r>
      <t xml:space="preserve">Senecio vulgaris </t>
    </r>
    <r>
      <rPr>
        <b/>
        <sz val="12"/>
        <rFont val="Arial"/>
        <family val="2"/>
      </rPr>
      <t>L.</t>
    </r>
  </si>
  <si>
    <r>
      <t xml:space="preserve">Setaria pumila (Poir.) Schult. (Setaria glauca </t>
    </r>
    <r>
      <rPr>
        <b/>
        <sz val="12"/>
        <rFont val="Arial"/>
        <family val="2"/>
      </rPr>
      <t>auct., non (L.) P.Beauv.</t>
    </r>
    <r>
      <rPr>
        <b/>
        <i/>
        <sz val="12"/>
        <rFont val="Arial"/>
        <family val="2"/>
      </rPr>
      <t>)</t>
    </r>
  </si>
  <si>
    <r>
      <t xml:space="preserve">Setaria viridis </t>
    </r>
    <r>
      <rPr>
        <b/>
        <sz val="12"/>
        <rFont val="Arial"/>
        <family val="2"/>
      </rPr>
      <t>(L.) Beauv.</t>
    </r>
  </si>
  <si>
    <r>
      <t>Sherardia arvensis</t>
    </r>
    <r>
      <rPr>
        <b/>
        <sz val="12"/>
        <rFont val="Arial"/>
        <family val="2"/>
      </rPr>
      <t xml:space="preserve"> L.</t>
    </r>
  </si>
  <si>
    <r>
      <t xml:space="preserve">Silybum marianum </t>
    </r>
    <r>
      <rPr>
        <b/>
        <sz val="12"/>
        <rFont val="Arial"/>
        <family val="2"/>
      </rPr>
      <t>(L.) Gaertner</t>
    </r>
  </si>
  <si>
    <r>
      <t xml:space="preserve">Sinapis arvensis </t>
    </r>
    <r>
      <rPr>
        <b/>
        <sz val="12"/>
        <rFont val="Arial"/>
        <family val="2"/>
      </rPr>
      <t>L. (</t>
    </r>
    <r>
      <rPr>
        <b/>
        <i/>
        <sz val="12"/>
        <rFont val="Arial"/>
        <family val="2"/>
      </rPr>
      <t>Brassica arvensis</t>
    </r>
    <r>
      <rPr>
        <b/>
        <sz val="12"/>
        <rFont val="Arial"/>
        <family val="2"/>
      </rPr>
      <t xml:space="preserve"> (L.) Rabenh., non L.)</t>
    </r>
  </si>
  <si>
    <r>
      <t xml:space="preserve">Solanum nigrum </t>
    </r>
    <r>
      <rPr>
        <b/>
        <sz val="12"/>
        <rFont val="Arial"/>
        <family val="2"/>
      </rPr>
      <t>L.</t>
    </r>
  </si>
  <si>
    <r>
      <t xml:space="preserve">Sonchus arvensis </t>
    </r>
    <r>
      <rPr>
        <b/>
        <sz val="12"/>
        <rFont val="Arial"/>
        <family val="2"/>
      </rPr>
      <t xml:space="preserve">L. </t>
    </r>
  </si>
  <si>
    <r>
      <t xml:space="preserve">Sonchus asper </t>
    </r>
    <r>
      <rPr>
        <b/>
        <sz val="12"/>
        <rFont val="Arial"/>
        <family val="2"/>
      </rPr>
      <t>(L.) Hill.</t>
    </r>
  </si>
  <si>
    <t>5 (1)</t>
  </si>
  <si>
    <t>6 (11)</t>
  </si>
  <si>
    <r>
      <t>Sonchus oleraceus</t>
    </r>
    <r>
      <rPr>
        <b/>
        <sz val="12"/>
        <rFont val="Arial"/>
        <family val="2"/>
      </rPr>
      <t xml:space="preserve"> L. </t>
    </r>
  </si>
  <si>
    <r>
      <t xml:space="preserve">Sonchus tenerrimus </t>
    </r>
    <r>
      <rPr>
        <b/>
        <sz val="12"/>
        <rFont val="Arial"/>
        <family val="2"/>
      </rPr>
      <t>L.</t>
    </r>
  </si>
  <si>
    <r>
      <t xml:space="preserve">Sorghum halepense </t>
    </r>
    <r>
      <rPr>
        <b/>
        <sz val="12"/>
        <rFont val="Arial"/>
        <family val="2"/>
      </rPr>
      <t>(L.) Pers.</t>
    </r>
  </si>
  <si>
    <r>
      <t xml:space="preserve">Sorghum vulgare </t>
    </r>
    <r>
      <rPr>
        <b/>
        <sz val="12"/>
        <rFont val="Arial"/>
        <family val="2"/>
      </rPr>
      <t xml:space="preserve">Pers. </t>
    </r>
  </si>
  <si>
    <r>
      <t xml:space="preserve">Spergula arvensis </t>
    </r>
    <r>
      <rPr>
        <b/>
        <sz val="12"/>
        <rFont val="Arial"/>
        <family val="2"/>
      </rPr>
      <t>L.</t>
    </r>
  </si>
  <si>
    <r>
      <t>Spergularia rubra</t>
    </r>
    <r>
      <rPr>
        <b/>
        <sz val="12"/>
        <rFont val="Arial"/>
        <family val="2"/>
      </rPr>
      <t xml:space="preserve"> (L.) J. et C. Presl. </t>
    </r>
  </si>
  <si>
    <r>
      <t xml:space="preserve">Stachys arvensis </t>
    </r>
    <r>
      <rPr>
        <b/>
        <sz val="12"/>
        <rFont val="Arial"/>
        <family val="2"/>
      </rPr>
      <t>(L.) L.</t>
    </r>
  </si>
  <si>
    <t>4 (8)</t>
  </si>
  <si>
    <r>
      <t>Stachys palustris</t>
    </r>
    <r>
      <rPr>
        <b/>
        <sz val="12"/>
        <rFont val="Arial"/>
        <family val="2"/>
      </rPr>
      <t xml:space="preserve"> </t>
    </r>
    <r>
      <rPr>
        <b/>
        <i/>
        <sz val="12"/>
        <rFont val="Arial"/>
        <family val="2"/>
      </rPr>
      <t>L.</t>
    </r>
  </si>
  <si>
    <r>
      <t xml:space="preserve">Stellaria media </t>
    </r>
    <r>
      <rPr>
        <b/>
        <sz val="12"/>
        <rFont val="Arial"/>
        <family val="2"/>
      </rPr>
      <t>(L.) Vill.</t>
    </r>
  </si>
  <si>
    <r>
      <t xml:space="preserve">Taraxacum officinale </t>
    </r>
    <r>
      <rPr>
        <b/>
        <sz val="12"/>
        <rFont val="Arial"/>
        <family val="2"/>
      </rPr>
      <t>Weber</t>
    </r>
  </si>
  <si>
    <t>5 (11)</t>
  </si>
  <si>
    <r>
      <t xml:space="preserve">Thlaspi arvense </t>
    </r>
    <r>
      <rPr>
        <b/>
        <sz val="12"/>
        <rFont val="Arial"/>
        <family val="2"/>
      </rPr>
      <t>L.</t>
    </r>
  </si>
  <si>
    <r>
      <t xml:space="preserve">Trifolium arvense </t>
    </r>
    <r>
      <rPr>
        <b/>
        <sz val="12"/>
        <rFont val="Arial"/>
        <family val="2"/>
      </rPr>
      <t>L.</t>
    </r>
  </si>
  <si>
    <r>
      <t xml:space="preserve">Trifolium incarnatum </t>
    </r>
    <r>
      <rPr>
        <b/>
        <sz val="12"/>
        <rFont val="Arial"/>
        <family val="2"/>
      </rPr>
      <t>L.</t>
    </r>
  </si>
  <si>
    <r>
      <t xml:space="preserve">Trifolium pratense </t>
    </r>
    <r>
      <rPr>
        <b/>
        <sz val="12"/>
        <rFont val="Arial"/>
        <family val="2"/>
      </rPr>
      <t>L.</t>
    </r>
  </si>
  <si>
    <t>4 (1)</t>
  </si>
  <si>
    <r>
      <t xml:space="preserve">Trifolium repens </t>
    </r>
    <r>
      <rPr>
        <b/>
        <sz val="12"/>
        <rFont val="Arial"/>
        <family val="2"/>
      </rPr>
      <t>L.</t>
    </r>
  </si>
  <si>
    <r>
      <t xml:space="preserve">Trifolium squarrosum </t>
    </r>
    <r>
      <rPr>
        <b/>
        <sz val="12"/>
        <rFont val="Arial"/>
        <family val="2"/>
      </rPr>
      <t>L.</t>
    </r>
  </si>
  <si>
    <r>
      <t xml:space="preserve">Trifolium subteraneum </t>
    </r>
    <r>
      <rPr>
        <b/>
        <sz val="12"/>
        <rFont val="Arial"/>
        <family val="2"/>
      </rPr>
      <t>L.</t>
    </r>
  </si>
  <si>
    <r>
      <t>×</t>
    </r>
    <r>
      <rPr>
        <b/>
        <i/>
        <sz val="12"/>
        <rFont val="Arial"/>
        <family val="2"/>
      </rPr>
      <t xml:space="preserve">Triticosecale </t>
    </r>
    <r>
      <rPr>
        <b/>
        <sz val="12"/>
        <rFont val="Arial"/>
        <family val="2"/>
      </rPr>
      <t>Wittm. ex A.Camus (×</t>
    </r>
    <r>
      <rPr>
        <b/>
        <i/>
        <sz val="12"/>
        <rFont val="Arial"/>
        <family val="2"/>
      </rPr>
      <t>Triticale</t>
    </r>
    <r>
      <rPr>
        <b/>
        <sz val="12"/>
        <rFont val="Arial"/>
        <family val="2"/>
      </rPr>
      <t xml:space="preserve"> Tscherm.-Seys. ex Müntzing) </t>
    </r>
  </si>
  <si>
    <r>
      <t xml:space="preserve">Triticum aestivum </t>
    </r>
    <r>
      <rPr>
        <b/>
        <sz val="12"/>
        <rFont val="Arial"/>
        <family val="2"/>
      </rPr>
      <t>L.</t>
    </r>
  </si>
  <si>
    <r>
      <t xml:space="preserve">Triticum durum </t>
    </r>
    <r>
      <rPr>
        <b/>
        <sz val="12"/>
        <rFont val="Arial"/>
        <family val="2"/>
      </rPr>
      <t>Desf.</t>
    </r>
  </si>
  <si>
    <r>
      <t xml:space="preserve">Vaccaria pyramidata </t>
    </r>
    <r>
      <rPr>
        <b/>
        <sz val="12"/>
        <rFont val="Arial"/>
        <family val="2"/>
      </rPr>
      <t>Medicus</t>
    </r>
  </si>
  <si>
    <r>
      <t xml:space="preserve">Valerianella locusta </t>
    </r>
    <r>
      <rPr>
        <b/>
        <sz val="12"/>
        <rFont val="Arial"/>
        <family val="2"/>
      </rPr>
      <t>(L.) Laterr.</t>
    </r>
  </si>
  <si>
    <t>Valerianaceae</t>
  </si>
  <si>
    <r>
      <t xml:space="preserve">Verbena officinalis </t>
    </r>
    <r>
      <rPr>
        <b/>
        <sz val="12"/>
        <rFont val="Arial"/>
        <family val="2"/>
      </rPr>
      <t>L.</t>
    </r>
  </si>
  <si>
    <t>Verbenaceae</t>
  </si>
  <si>
    <r>
      <t xml:space="preserve">Veronica arvensis </t>
    </r>
    <r>
      <rPr>
        <b/>
        <sz val="12"/>
        <rFont val="Arial"/>
        <family val="2"/>
      </rPr>
      <t>L.</t>
    </r>
  </si>
  <si>
    <r>
      <t xml:space="preserve">Veronica hederifolia </t>
    </r>
    <r>
      <rPr>
        <b/>
        <sz val="12"/>
        <rFont val="Arial"/>
        <family val="2"/>
      </rPr>
      <t>L.</t>
    </r>
  </si>
  <si>
    <r>
      <t xml:space="preserve">Veronica officinalis </t>
    </r>
    <r>
      <rPr>
        <b/>
        <sz val="12"/>
        <rFont val="Arial"/>
        <family val="2"/>
      </rPr>
      <t>L.</t>
    </r>
  </si>
  <si>
    <r>
      <t xml:space="preserve">Veronica persica </t>
    </r>
    <r>
      <rPr>
        <b/>
        <sz val="12"/>
        <rFont val="Arial"/>
        <family val="2"/>
      </rPr>
      <t>Poiret</t>
    </r>
  </si>
  <si>
    <r>
      <t>Veronica polita</t>
    </r>
    <r>
      <rPr>
        <b/>
        <sz val="12"/>
        <rFont val="Arial"/>
        <family val="2"/>
      </rPr>
      <t xml:space="preserve"> Fries</t>
    </r>
  </si>
  <si>
    <r>
      <t>Vicia cracca</t>
    </r>
    <r>
      <rPr>
        <b/>
        <sz val="12"/>
        <rFont val="Arial"/>
        <family val="2"/>
      </rPr>
      <t xml:space="preserve"> L. </t>
    </r>
  </si>
  <si>
    <r>
      <t>Vicia ervilia</t>
    </r>
    <r>
      <rPr>
        <b/>
        <sz val="12"/>
        <rFont val="Arial"/>
        <family val="2"/>
      </rPr>
      <t xml:space="preserve"> (L.) Willd.</t>
    </r>
  </si>
  <si>
    <r>
      <t xml:space="preserve">Vicia faba </t>
    </r>
    <r>
      <rPr>
        <b/>
        <sz val="12"/>
        <rFont val="Arial"/>
        <family val="2"/>
      </rPr>
      <t>L</t>
    </r>
    <r>
      <rPr>
        <b/>
        <i/>
        <sz val="12"/>
        <rFont val="Arial"/>
        <family val="2"/>
      </rPr>
      <t>.</t>
    </r>
  </si>
  <si>
    <t>4 (6)</t>
  </si>
  <si>
    <r>
      <t>Vicia hirsuta</t>
    </r>
    <r>
      <rPr>
        <b/>
        <sz val="12"/>
        <rFont val="Arial"/>
        <family val="2"/>
      </rPr>
      <t xml:space="preserve"> (L.) S. F. Gray</t>
    </r>
  </si>
  <si>
    <r>
      <t xml:space="preserve">Vicia sativa </t>
    </r>
    <r>
      <rPr>
        <b/>
        <sz val="12"/>
        <rFont val="Arial"/>
        <family val="2"/>
      </rPr>
      <t>L.</t>
    </r>
  </si>
  <si>
    <r>
      <t xml:space="preserve">Vicia sylvatica </t>
    </r>
    <r>
      <rPr>
        <b/>
        <sz val="12"/>
        <rFont val="Arial"/>
        <family val="2"/>
      </rPr>
      <t>L.</t>
    </r>
  </si>
  <si>
    <r>
      <t xml:space="preserve">Vicia villosa </t>
    </r>
    <r>
      <rPr>
        <b/>
        <sz val="12"/>
        <rFont val="Arial"/>
        <family val="2"/>
      </rPr>
      <t>Roth</t>
    </r>
  </si>
  <si>
    <r>
      <t xml:space="preserve">Viola arvensis </t>
    </r>
    <r>
      <rPr>
        <b/>
        <sz val="12"/>
        <rFont val="Arial"/>
        <family val="2"/>
      </rPr>
      <t>Murray</t>
    </r>
  </si>
  <si>
    <t>Violaceae</t>
  </si>
  <si>
    <t>5 (6)</t>
  </si>
  <si>
    <r>
      <t xml:space="preserve">Xanthium strumarium </t>
    </r>
    <r>
      <rPr>
        <b/>
        <sz val="12"/>
        <rFont val="Arial"/>
        <family val="2"/>
      </rPr>
      <t>L.</t>
    </r>
  </si>
  <si>
    <r>
      <t>Xanthium strumarium L. subsp. italicum (</t>
    </r>
    <r>
      <rPr>
        <b/>
        <sz val="12"/>
        <rFont val="Arial"/>
        <family val="2"/>
      </rPr>
      <t>Moretti) D. Löve</t>
    </r>
  </si>
  <si>
    <t>Hemicriptophytes: Buds at or near the soil surface</t>
  </si>
  <si>
    <t>Geophytes: Below ground - with resting buds lying either beneath the surface of the ground as a rhizome, bulb, corm, etc.</t>
  </si>
  <si>
    <t xml:space="preserve">Chameaephytes: Buds on persistent shoots near the ground – woody plants with perennating buds borne close to the ground, no more than 25 cm above the soil surface
</t>
  </si>
  <si>
    <t>Therophyte = 1</t>
  </si>
  <si>
    <t>Hemicriptophyte = 2</t>
  </si>
  <si>
    <t>Geophyte = 3</t>
  </si>
  <si>
    <t>Chamaephyte = 4</t>
  </si>
  <si>
    <t xml:space="preserve">                                              </t>
  </si>
  <si>
    <t>Ascending or creeping leafy species = 2</t>
  </si>
  <si>
    <t>Graminoids = 3</t>
  </si>
  <si>
    <t>Stress-tolerant = 2</t>
  </si>
  <si>
    <t>Ruderal = 3</t>
  </si>
  <si>
    <t>CR = 4</t>
  </si>
  <si>
    <t>CS = 5</t>
  </si>
  <si>
    <t>SR = 6</t>
  </si>
  <si>
    <t>CSR = 7</t>
  </si>
  <si>
    <t>NA = No data available</t>
  </si>
  <si>
    <t>Annual = 1</t>
  </si>
  <si>
    <t>Biennial = 2</t>
  </si>
  <si>
    <t>Stationary perennial = 3</t>
  </si>
  <si>
    <t>Yes = 1</t>
  </si>
  <si>
    <t>No = 2</t>
  </si>
  <si>
    <t>Wide range = 10</t>
  </si>
  <si>
    <t>NA =No data available</t>
  </si>
  <si>
    <t>Fibrous roots = 1</t>
  </si>
  <si>
    <t>Taproot = 2</t>
  </si>
  <si>
    <t>8.Seed weight (SWT) [mg]</t>
  </si>
  <si>
    <t>7.Plant height (PLH) [m]</t>
  </si>
  <si>
    <t>5.Soil seedbank longevity (SBL)</t>
  </si>
  <si>
    <t>4.Grime's life strategy (GLS)</t>
  </si>
  <si>
    <t>3.Life span x regeneration form (LSR)</t>
  </si>
  <si>
    <t>2.Growth form (GTF)</t>
  </si>
  <si>
    <t>1.Raunkiaer  life form (RLF)</t>
  </si>
  <si>
    <t>9.Seasonality of germination (SSG)</t>
  </si>
  <si>
    <t>11.Duration of flowering period (DFF) [months]</t>
  </si>
  <si>
    <t>11.Duration of flowering period (DFF) (Mediterranean area)</t>
  </si>
  <si>
    <t>12. Affinity to soil nutrient conditions (SNC)</t>
  </si>
  <si>
    <t>13.Root system (PRT)</t>
  </si>
  <si>
    <t>14.Support of Arbuscular Mycorrhizal Fungi (SAM)</t>
  </si>
  <si>
    <t>1.1</t>
  </si>
  <si>
    <t>1.2</t>
  </si>
  <si>
    <t>1.3</t>
  </si>
  <si>
    <t>1.4</t>
  </si>
  <si>
    <t>2.1</t>
  </si>
  <si>
    <t>2.2</t>
  </si>
  <si>
    <t>2.3</t>
  </si>
  <si>
    <t>A, C</t>
  </si>
  <si>
    <t>A, D</t>
  </si>
  <si>
    <t>D, E, H, L</t>
  </si>
  <si>
    <t>E, H, J</t>
  </si>
  <si>
    <t>J</t>
  </si>
  <si>
    <t xml:space="preserve">F, G, J </t>
  </si>
  <si>
    <t>E, I</t>
  </si>
  <si>
    <t>E</t>
  </si>
  <si>
    <t>F</t>
  </si>
  <si>
    <t>B</t>
  </si>
  <si>
    <t>K</t>
  </si>
  <si>
    <t>D</t>
  </si>
  <si>
    <t>4.1</t>
  </si>
  <si>
    <t>4.2</t>
  </si>
  <si>
    <t>4.3</t>
  </si>
  <si>
    <t>4.4</t>
  </si>
  <si>
    <t>4.5</t>
  </si>
  <si>
    <t>4.6</t>
  </si>
  <si>
    <t>4.7</t>
  </si>
  <si>
    <t>3.1</t>
  </si>
  <si>
    <t>3.2</t>
  </si>
  <si>
    <t>3.3</t>
  </si>
  <si>
    <t>3.4</t>
  </si>
  <si>
    <t>3.5</t>
  </si>
  <si>
    <t>3.6</t>
  </si>
  <si>
    <t>3.7</t>
  </si>
  <si>
    <t>5.1</t>
  </si>
  <si>
    <t>5.2</t>
  </si>
  <si>
    <t>5.3</t>
  </si>
  <si>
    <t>13.1</t>
  </si>
  <si>
    <t>13.2</t>
  </si>
  <si>
    <t>15.1</t>
  </si>
  <si>
    <t>15.2</t>
  </si>
  <si>
    <t>16.1</t>
  </si>
  <si>
    <t>16.2</t>
  </si>
  <si>
    <t>12.1</t>
  </si>
  <si>
    <t>12.2</t>
  </si>
  <si>
    <t>12.3</t>
  </si>
  <si>
    <t>12.4</t>
  </si>
  <si>
    <t>12.5</t>
  </si>
  <si>
    <t>12.6</t>
  </si>
  <si>
    <t>14.1</t>
  </si>
  <si>
    <t>14.2</t>
  </si>
  <si>
    <t>14.3</t>
  </si>
  <si>
    <t>14.4</t>
  </si>
  <si>
    <t>14.5</t>
  </si>
  <si>
    <t>14.6</t>
  </si>
  <si>
    <t>9.1</t>
  </si>
  <si>
    <t>9.2</t>
  </si>
  <si>
    <t>9.3</t>
  </si>
  <si>
    <t>9.4</t>
  </si>
  <si>
    <t>9.5</t>
  </si>
  <si>
    <t>Germination in Autumn = 1</t>
  </si>
  <si>
    <t>Germination in Spring= 2</t>
  </si>
  <si>
    <t>Germination in Summer = 3</t>
  </si>
  <si>
    <t>Germination in Winter = 4</t>
  </si>
  <si>
    <t>Botanical family</t>
  </si>
  <si>
    <r>
      <t>Matricaria perforata Mérat (Matricaria maritima L.</t>
    </r>
    <r>
      <rPr>
        <b/>
        <sz val="12"/>
        <rFont val="Arial"/>
        <family val="2"/>
      </rPr>
      <t xml:space="preserve"> subsp</t>
    </r>
    <r>
      <rPr>
        <b/>
        <i/>
        <sz val="12"/>
        <rFont val="Arial"/>
        <family val="2"/>
      </rPr>
      <t xml:space="preserve">. inodora </t>
    </r>
    <r>
      <rPr>
        <b/>
        <sz val="12"/>
        <rFont val="Arial"/>
        <family val="2"/>
      </rPr>
      <t>(L.) Dóstal</t>
    </r>
    <r>
      <rPr>
        <b/>
        <i/>
        <sz val="12"/>
        <rFont val="Arial"/>
        <family val="2"/>
      </rPr>
      <t xml:space="preserve">, M. inodora </t>
    </r>
    <r>
      <rPr>
        <b/>
        <sz val="12"/>
        <rFont val="Arial"/>
        <family val="2"/>
      </rPr>
      <t>L.</t>
    </r>
    <r>
      <rPr>
        <b/>
        <i/>
        <sz val="12"/>
        <rFont val="Arial"/>
        <family val="2"/>
      </rPr>
      <t xml:space="preserve">, </t>
    </r>
    <r>
      <rPr>
        <b/>
        <sz val="12"/>
        <rFont val="Arial"/>
        <family val="2"/>
      </rPr>
      <t>nom illegit</t>
    </r>
    <r>
      <rPr>
        <b/>
        <i/>
        <sz val="12"/>
        <rFont val="Arial"/>
        <family val="2"/>
      </rPr>
      <t>)</t>
    </r>
  </si>
  <si>
    <r>
      <t xml:space="preserve">Lolium multiflorum </t>
    </r>
    <r>
      <rPr>
        <b/>
        <sz val="12"/>
        <rFont val="Arial"/>
        <family val="2"/>
      </rPr>
      <t xml:space="preserve">Lam. </t>
    </r>
  </si>
  <si>
    <r>
      <t xml:space="preserve">Malcomia africana </t>
    </r>
    <r>
      <rPr>
        <b/>
        <sz val="12"/>
        <rFont val="Arial"/>
        <family val="2"/>
      </rPr>
      <t xml:space="preserve">(L.) R. Br. </t>
    </r>
  </si>
  <si>
    <r>
      <t xml:space="preserve">Dactylis glomerata </t>
    </r>
    <r>
      <rPr>
        <b/>
        <sz val="12"/>
        <rFont val="Arial"/>
        <family val="2"/>
      </rPr>
      <t>L.</t>
    </r>
  </si>
  <si>
    <r>
      <t xml:space="preserve">Cnicus benedictus </t>
    </r>
    <r>
      <rPr>
        <b/>
        <sz val="12"/>
        <rFont val="Arial"/>
        <family val="2"/>
      </rPr>
      <t>L.</t>
    </r>
  </si>
  <si>
    <r>
      <t xml:space="preserve">Chaenorhinum minus </t>
    </r>
    <r>
      <rPr>
        <b/>
        <sz val="12"/>
        <rFont val="Arial"/>
        <family val="2"/>
      </rPr>
      <t>(L.) Lange</t>
    </r>
    <r>
      <rPr>
        <b/>
        <i/>
        <sz val="12"/>
        <rFont val="Arial"/>
        <family val="2"/>
      </rPr>
      <t xml:space="preserve"> (Linaria minor</t>
    </r>
    <r>
      <rPr>
        <b/>
        <sz val="12"/>
        <rFont val="Arial"/>
        <family val="2"/>
      </rPr>
      <t xml:space="preserve"> (L.) Desf.)</t>
    </r>
  </si>
  <si>
    <r>
      <t xml:space="preserve">Cerastium fontanum </t>
    </r>
    <r>
      <rPr>
        <b/>
        <sz val="12"/>
        <rFont val="Arial"/>
        <family val="2"/>
      </rPr>
      <t>Baumg.</t>
    </r>
    <r>
      <rPr>
        <b/>
        <i/>
        <sz val="12"/>
        <rFont val="Arial"/>
        <family val="2"/>
      </rPr>
      <t xml:space="preserve"> subsp. triviale </t>
    </r>
    <r>
      <rPr>
        <b/>
        <sz val="12"/>
        <rFont val="Arial"/>
        <family val="2"/>
      </rPr>
      <t>(Link)</t>
    </r>
    <r>
      <rPr>
        <b/>
        <i/>
        <sz val="12"/>
        <rFont val="Arial"/>
        <family val="2"/>
      </rPr>
      <t xml:space="preserve"> Jalas (C. holosteoides </t>
    </r>
    <r>
      <rPr>
        <b/>
        <sz val="12"/>
        <rFont val="Arial"/>
        <family val="2"/>
      </rPr>
      <t>Fries)</t>
    </r>
  </si>
  <si>
    <r>
      <t xml:space="preserve">Cerastium arvense </t>
    </r>
    <r>
      <rPr>
        <b/>
        <sz val="12"/>
        <rFont val="Arial"/>
        <family val="2"/>
      </rPr>
      <t xml:space="preserve">L. </t>
    </r>
  </si>
  <si>
    <r>
      <t xml:space="preserve">Centaurea cyanus </t>
    </r>
    <r>
      <rPr>
        <b/>
        <sz val="12"/>
        <rFont val="Arial"/>
        <family val="2"/>
      </rPr>
      <t>L.</t>
    </r>
  </si>
  <si>
    <r>
      <t xml:space="preserve">Anagallis arvensis </t>
    </r>
    <r>
      <rPr>
        <b/>
        <sz val="12"/>
        <rFont val="Arial"/>
        <family val="2"/>
      </rPr>
      <t>L.</t>
    </r>
    <r>
      <rPr>
        <b/>
        <i/>
        <sz val="12"/>
        <rFont val="Arial"/>
        <family val="2"/>
      </rPr>
      <t xml:space="preserve"> </t>
    </r>
  </si>
  <si>
    <r>
      <t xml:space="preserve">Chamomilla recutita (L.) Rauschert (Matricaria recutita </t>
    </r>
    <r>
      <rPr>
        <b/>
        <sz val="12"/>
        <rFont val="Arial"/>
        <family val="2"/>
      </rPr>
      <t xml:space="preserve">L., </t>
    </r>
    <r>
      <rPr>
        <b/>
        <i/>
        <sz val="12"/>
        <rFont val="Arial"/>
        <family val="2"/>
      </rPr>
      <t>Matricaria chamomila</t>
    </r>
    <r>
      <rPr>
        <b/>
        <sz val="12"/>
        <rFont val="Arial"/>
        <family val="2"/>
      </rPr>
      <t xml:space="preserve"> L.)</t>
    </r>
  </si>
  <si>
    <r>
      <t xml:space="preserve">Chenopodium polyspermum </t>
    </r>
    <r>
      <rPr>
        <b/>
        <sz val="12"/>
        <rFont val="Arial"/>
        <family val="2"/>
      </rPr>
      <t>L.</t>
    </r>
    <r>
      <rPr>
        <b/>
        <i/>
        <sz val="12"/>
        <rFont val="Arial"/>
        <family val="2"/>
      </rPr>
      <t xml:space="preserve"> </t>
    </r>
  </si>
  <si>
    <r>
      <t xml:space="preserve">Coronopus squamatus </t>
    </r>
    <r>
      <rPr>
        <b/>
        <sz val="12"/>
        <rFont val="Arial"/>
        <family val="2"/>
      </rPr>
      <t>(Forskal) Ascherson</t>
    </r>
  </si>
  <si>
    <r>
      <t>Daucus carota</t>
    </r>
    <r>
      <rPr>
        <b/>
        <sz val="12"/>
        <rFont val="Arial"/>
        <family val="2"/>
      </rPr>
      <t xml:space="preserve"> L.</t>
    </r>
    <r>
      <rPr>
        <b/>
        <i/>
        <sz val="12"/>
        <rFont val="Arial"/>
        <family val="2"/>
      </rPr>
      <t xml:space="preserve"> subp. sativus </t>
    </r>
    <r>
      <rPr>
        <b/>
        <sz val="12"/>
        <rFont val="Arial"/>
        <family val="2"/>
      </rPr>
      <t>(Hoffm.) Arcangeli</t>
    </r>
  </si>
  <si>
    <r>
      <t xml:space="preserve">Erophila verna </t>
    </r>
    <r>
      <rPr>
        <b/>
        <sz val="12"/>
        <rFont val="Arial"/>
        <family val="2"/>
      </rPr>
      <t>(L.) Chevall</t>
    </r>
  </si>
  <si>
    <r>
      <t xml:space="preserve">Festuca pratensis </t>
    </r>
    <r>
      <rPr>
        <b/>
        <sz val="12"/>
        <rFont val="Arial"/>
        <family val="2"/>
      </rPr>
      <t>Hudson</t>
    </r>
  </si>
  <si>
    <r>
      <t xml:space="preserve">Galeopsis ladanum </t>
    </r>
    <r>
      <rPr>
        <b/>
        <sz val="12"/>
        <rFont val="Arial"/>
        <family val="2"/>
      </rPr>
      <t>L.</t>
    </r>
    <r>
      <rPr>
        <b/>
        <i/>
        <sz val="12"/>
        <rFont val="Arial"/>
        <family val="2"/>
      </rPr>
      <t xml:space="preserve"> </t>
    </r>
  </si>
  <si>
    <r>
      <t xml:space="preserve">Leymus arenarius </t>
    </r>
    <r>
      <rPr>
        <b/>
        <sz val="12"/>
        <rFont val="Arial"/>
        <family val="2"/>
      </rPr>
      <t>L. (</t>
    </r>
    <r>
      <rPr>
        <b/>
        <i/>
        <sz val="12"/>
        <rFont val="Arial"/>
        <family val="2"/>
      </rPr>
      <t xml:space="preserve">Elymus arenarius </t>
    </r>
    <r>
      <rPr>
        <b/>
        <sz val="12"/>
        <rFont val="Arial"/>
        <family val="2"/>
      </rPr>
      <t>L.)</t>
    </r>
  </si>
  <si>
    <r>
      <t xml:space="preserve">Melissa officinalis </t>
    </r>
    <r>
      <rPr>
        <b/>
        <sz val="12"/>
        <rFont val="Arial"/>
        <family val="2"/>
      </rPr>
      <t>L.</t>
    </r>
  </si>
  <si>
    <r>
      <t xml:space="preserve">Phragmites australis </t>
    </r>
    <r>
      <rPr>
        <b/>
        <sz val="12"/>
        <rFont val="Arial"/>
        <family val="2"/>
      </rPr>
      <t>(Cav.) Trin. ex Steudel</t>
    </r>
    <r>
      <rPr>
        <b/>
        <i/>
        <sz val="12"/>
        <rFont val="Arial"/>
        <family val="2"/>
      </rPr>
      <t xml:space="preserve"> (P. communis </t>
    </r>
    <r>
      <rPr>
        <b/>
        <sz val="12"/>
        <rFont val="Arial"/>
        <family val="2"/>
      </rPr>
      <t>Trin.</t>
    </r>
    <r>
      <rPr>
        <b/>
        <i/>
        <sz val="12"/>
        <rFont val="Arial"/>
        <family val="2"/>
      </rPr>
      <t xml:space="preserve">, Arundo phragmites </t>
    </r>
    <r>
      <rPr>
        <b/>
        <sz val="12"/>
        <rFont val="Arial"/>
        <family val="2"/>
      </rPr>
      <t>L.</t>
    </r>
    <r>
      <rPr>
        <b/>
        <i/>
        <sz val="12"/>
        <rFont val="Arial"/>
        <family val="2"/>
      </rPr>
      <t>)</t>
    </r>
  </si>
  <si>
    <r>
      <t xml:space="preserve">Pisum sativum </t>
    </r>
    <r>
      <rPr>
        <b/>
        <sz val="12"/>
        <rFont val="Arial"/>
        <family val="2"/>
      </rPr>
      <t>L.</t>
    </r>
  </si>
  <si>
    <r>
      <t xml:space="preserve">Plantago major </t>
    </r>
    <r>
      <rPr>
        <b/>
        <sz val="12"/>
        <rFont val="Arial"/>
        <family val="2"/>
      </rPr>
      <t>ssp.</t>
    </r>
    <r>
      <rPr>
        <b/>
        <i/>
        <sz val="12"/>
        <rFont val="Arial"/>
        <family val="2"/>
      </rPr>
      <t xml:space="preserve"> major</t>
    </r>
  </si>
  <si>
    <r>
      <t xml:space="preserve">Polygonum persicaria L. </t>
    </r>
    <r>
      <rPr>
        <b/>
        <sz val="12"/>
        <rFont val="Arial"/>
        <family val="2"/>
      </rPr>
      <t>(</t>
    </r>
    <r>
      <rPr>
        <b/>
        <i/>
        <sz val="12"/>
        <rFont val="Arial"/>
        <family val="2"/>
      </rPr>
      <t xml:space="preserve">Persicaria maculosa </t>
    </r>
    <r>
      <rPr>
        <b/>
        <sz val="12"/>
        <rFont val="Arial"/>
        <family val="2"/>
      </rPr>
      <t>S. F. Gray, Persicaria maculata (Raf.) S. F. Gray</t>
    </r>
    <r>
      <rPr>
        <b/>
        <i/>
        <sz val="12"/>
        <rFont val="Arial"/>
        <family val="2"/>
      </rPr>
      <t>)</t>
    </r>
  </si>
  <si>
    <r>
      <t xml:space="preserve">Pulicaria dysenterica </t>
    </r>
    <r>
      <rPr>
        <b/>
        <sz val="12"/>
        <rFont val="Arial"/>
        <family val="2"/>
      </rPr>
      <t>(L.) Bernh</t>
    </r>
  </si>
  <si>
    <r>
      <t>Ranunculus repens</t>
    </r>
    <r>
      <rPr>
        <b/>
        <sz val="12"/>
        <rFont val="Arial"/>
        <family val="2"/>
      </rPr>
      <t xml:space="preserve"> L. </t>
    </r>
  </si>
  <si>
    <r>
      <t xml:space="preserve">Rumex obtusifolius </t>
    </r>
    <r>
      <rPr>
        <b/>
        <sz val="12"/>
        <rFont val="Arial"/>
        <family val="2"/>
      </rPr>
      <t xml:space="preserve">L. </t>
    </r>
  </si>
  <si>
    <r>
      <t xml:space="preserve">Sinapis alba </t>
    </r>
    <r>
      <rPr>
        <b/>
        <sz val="12"/>
        <rFont val="Arial"/>
        <family val="2"/>
      </rPr>
      <t>L.</t>
    </r>
  </si>
  <si>
    <r>
      <t>Solanum tuberosum</t>
    </r>
    <r>
      <rPr>
        <b/>
        <sz val="12"/>
        <rFont val="Arial"/>
        <family val="2"/>
      </rPr>
      <t xml:space="preserve"> L.</t>
    </r>
  </si>
  <si>
    <r>
      <t xml:space="preserve">Trifolium resupinatum </t>
    </r>
    <r>
      <rPr>
        <b/>
        <sz val="12"/>
        <rFont val="Arial"/>
        <family val="2"/>
      </rPr>
      <t>L.</t>
    </r>
    <r>
      <rPr>
        <b/>
        <i/>
        <sz val="12"/>
        <rFont val="Arial"/>
        <family val="2"/>
      </rPr>
      <t xml:space="preserve"> </t>
    </r>
  </si>
  <si>
    <r>
      <t xml:space="preserve">Viola tricolor </t>
    </r>
    <r>
      <rPr>
        <b/>
        <sz val="12"/>
        <rFont val="Arial"/>
        <family val="2"/>
      </rPr>
      <t>L.</t>
    </r>
  </si>
  <si>
    <r>
      <t xml:space="preserve">Zea mays </t>
    </r>
    <r>
      <rPr>
        <b/>
        <sz val="12"/>
        <rFont val="Arial"/>
        <family val="2"/>
      </rPr>
      <t>L.</t>
    </r>
    <r>
      <rPr>
        <sz val="12"/>
        <rFont val="Arial"/>
        <family val="2"/>
      </rPr>
      <t xml:space="preserve"> </t>
    </r>
  </si>
  <si>
    <t>10.Beginning of flowering period (BFF)[month of the year]</t>
  </si>
  <si>
    <t>10.Beginning of flowering period (BFF)[month of the year] (Mediterranean area)</t>
  </si>
  <si>
    <t>16.Support of pollinators (PSP)</t>
  </si>
  <si>
    <t>Trait code</t>
  </si>
  <si>
    <t>Trait level/value</t>
  </si>
  <si>
    <r>
      <t>15.N</t>
    </r>
    <r>
      <rPr>
        <b/>
        <vertAlign val="subscript"/>
        <sz val="12"/>
        <color indexed="8"/>
        <rFont val="Arial"/>
        <family val="2"/>
      </rPr>
      <t>2</t>
    </r>
    <r>
      <rPr>
        <b/>
        <sz val="12"/>
        <color indexed="8"/>
        <rFont val="Arial"/>
        <family val="2"/>
      </rPr>
      <t>-fixing ability (NFA)</t>
    </r>
  </si>
  <si>
    <t>The Raunkiær system (1934) is based on the place of the plant's growth point (bud) during seasons with adverse conditions (cold seasons, dry seasons)</t>
  </si>
  <si>
    <t>Therophytes: Annual plants which survive the unfavorable season in the form of seeds and complete their life cycle during favorable seasons; annual species are therophytes</t>
  </si>
  <si>
    <t>Species can be grouped into growth form classes on the basis of their similarities in structure and function. Herbaceous species can be grouped into rosette-forming, ascending or creeping leafy species, and graminoids considering the architecture and occupancy of the space</t>
  </si>
  <si>
    <t xml:space="preserve">Rosette-forming: Cluster of leaves with very short internodes that are crowded together, normally on the soil surface but sometimes higher on the stem                                  </t>
  </si>
  <si>
    <t>Ascending or creeping leafy stems: Growing uprightly, in an upward direction, heading in the direction of the top or growing along the ground and producing roots at intervals along surface</t>
  </si>
  <si>
    <t xml:space="preserve">Graminoids: Grass or grass-like plant, including grasses (Poaceae), sedges (Cyperaceae), rushes (Juncaceae)                                                                              </t>
  </si>
  <si>
    <t>Rosette-forming = 1</t>
  </si>
  <si>
    <t>Trait explanation</t>
  </si>
  <si>
    <t xml:space="preserve">This trait aims to consider the life-span and the regeneration from surviving vegetative structures after disturbance </t>
  </si>
  <si>
    <t>Creeping perennial (aboveground shoots, stolons) = 4</t>
  </si>
  <si>
    <t>Creeping perennial (underground plagiotropic shoots, rhizomes) = 5</t>
  </si>
  <si>
    <t>Creeping perennial (plagiotropic thickened roots) = 6</t>
  </si>
  <si>
    <t>Creeping perennial (co-presence of two or more structures) = 7</t>
  </si>
  <si>
    <t xml:space="preserve">Plants are classified according to their life strategy (Grime, 1974) </t>
  </si>
  <si>
    <t xml:space="preserve">Despite some species can vary their strategy according to environmental and agronomic factors, their main life strategy is indicated </t>
  </si>
  <si>
    <t>When this solution is considered inappropriate it is possible to remove these species from the database. These occurrences are marked with an *</t>
  </si>
  <si>
    <t>For CSR strategy: for some species classes were attributed using the information available for similar species</t>
  </si>
  <si>
    <t>*= Inference drawn from experience or from data available for similar species</t>
  </si>
  <si>
    <t>The soil seed bank has been classified in three functional types based on species' seed persistence into the soil. Given the variability of this trait, the relative importance of each type of seed bank was assigned according to the number of studies supporting each of them</t>
  </si>
  <si>
    <t>The percentage of references in each category as related to the total number of references found for each species has been calculated</t>
  </si>
  <si>
    <t>Short-term = seeds remain in the soil between 1 and 5 years</t>
  </si>
  <si>
    <t>Transient = seeds remain in the soil for &lt; 1 year</t>
  </si>
  <si>
    <t>Long-term = seeds reamain in the soil for &gt; 5 years</t>
  </si>
  <si>
    <t>5. Soil seedbank longevity (SBL)</t>
  </si>
  <si>
    <t>4. Grime's life strategy (GLS)</t>
  </si>
  <si>
    <t>3. Life span x regeneration form (LSR)</t>
  </si>
  <si>
    <t>2. Growth form (GTF)</t>
  </si>
  <si>
    <t>1. Raunkiaer life form (RLF)</t>
  </si>
  <si>
    <t xml:space="preserve">6. Specific leaf area (SLA) </t>
  </si>
  <si>
    <t>7. Plant height (PLH) [m]</t>
  </si>
  <si>
    <t>8. Seed weight (SWT) [mg]</t>
  </si>
  <si>
    <t>SLA is a proxy for plant's ability to use light efficiently within the classical acquisition/conservation trade-off</t>
  </si>
  <si>
    <t xml:space="preserve">Plant height characterizes species ability to compete for light with neighbouring plants and especially with crop individuals </t>
  </si>
  <si>
    <t>Seed weight is related to species ability to disperse, colonise soil and persist</t>
  </si>
  <si>
    <t>Altogether, traits 6 to 8 define species Leaf-Height-Seed (LHS) strategy (Westoby, 1998)</t>
  </si>
  <si>
    <t>Quantitative</t>
  </si>
  <si>
    <t>Source of information</t>
  </si>
  <si>
    <t>G: Missouri Botanical Garden (2016); H: Grime et al. (2007); I: Kew Royal Botanical Gardens (2016); J: Kleyer et al. (2008); K: Prof. M. Giovannetti, personal communication; L: Hodgson (2016).</t>
  </si>
  <si>
    <r>
      <t xml:space="preserve">Westoby M (1998). A leaf-height-seed (LHS) plant ecology strategy scheme. </t>
    </r>
    <r>
      <rPr>
        <i/>
        <sz val="12"/>
        <rFont val="Arial"/>
        <family val="2"/>
      </rPr>
      <t>Plant Soil</t>
    </r>
    <r>
      <rPr>
        <sz val="12"/>
        <rFont val="Arial"/>
        <family val="2"/>
      </rPr>
      <t xml:space="preserve"> </t>
    </r>
    <r>
      <rPr>
        <b/>
        <sz val="12"/>
        <rFont val="Arial"/>
        <family val="2"/>
      </rPr>
      <t>199</t>
    </r>
    <r>
      <rPr>
        <sz val="12"/>
        <rFont val="Arial"/>
        <family val="2"/>
      </rPr>
      <t>, 213-227.</t>
    </r>
  </si>
  <si>
    <r>
      <t xml:space="preserve">Sources of information: A: Pignatti (1982); B: Pignatti </t>
    </r>
    <r>
      <rPr>
        <i/>
        <sz val="12"/>
        <color indexed="8"/>
        <rFont val="Arial"/>
        <family val="2"/>
      </rPr>
      <t>et al</t>
    </r>
    <r>
      <rPr>
        <sz val="12"/>
        <color indexed="8"/>
        <rFont val="Arial"/>
        <family val="2"/>
      </rPr>
      <t xml:space="preserve">. (2005); C: Bolòs et al. (2005); D: Klotz </t>
    </r>
    <r>
      <rPr>
        <i/>
        <sz val="12"/>
        <color indexed="8"/>
        <rFont val="Arial"/>
        <family val="2"/>
      </rPr>
      <t>et al</t>
    </r>
    <r>
      <rPr>
        <sz val="12"/>
        <color indexed="8"/>
        <rFont val="Arial"/>
        <family val="2"/>
      </rPr>
      <t xml:space="preserve">. (2002); E: Fitter &amp; Peat (1994); F: Font (2016); </t>
    </r>
  </si>
  <si>
    <t>9. Seasonality of germination (SSG)</t>
  </si>
  <si>
    <t>Non seasonal germination = 5</t>
  </si>
  <si>
    <t>Seed germination period determines the match between a weed species life cycle and the growing cycle of a crop hence its ability to escape disturbance posed by farming practices</t>
  </si>
  <si>
    <t>10. Beginning of flowering period (BFF) [month of the year]</t>
  </si>
  <si>
    <t>10. Beginning of flowering period (BFF) [month of the year] (Mediterranean area)</t>
  </si>
  <si>
    <t>The flowering period determines the match between weed species life cycle and the growing period of a crop hence its ability to escape disturbance posed by farming practices</t>
  </si>
  <si>
    <t>11. Duration of flowering period (DFF) [months]</t>
  </si>
  <si>
    <t xml:space="preserve">Duration of the flowering period indicates the lenght of the reproduction phase. Mechanical removal of weed seeds before shedding is an excellent strategy preventing weed seeds from entering the seed bank. Duration of the flowering period also informs on the provision of floral resources for higher-trophic levels. 
</t>
  </si>
  <si>
    <t>11. Duration of flowering period (DFF) (Mediterranean area)</t>
  </si>
  <si>
    <t xml:space="preserve">Duration of the flowering period indicates the lenght of the reproduction phase. Mechanical removal of weed seeds before shedding is an excellent strategy preventing weed seeds from entering the seed bank. Duration of the flowering period also informs on the provision of floral resources for higher-trophic levels. Extremely long periods of flowering are indicated in parentheses
</t>
  </si>
  <si>
    <t xml:space="preserve">Species are classified on their affinity to soil nutrient conditions (N) following Pignatti et al. (2005) nutrient indicator values </t>
  </si>
  <si>
    <t>(a) Oligotrophic soils which contain low amounts of nitrate as well as phosphorus and organic matter = 1</t>
  </si>
  <si>
    <t>(b) Intermediate conditions between a and c = 2</t>
  </si>
  <si>
    <t>(c) Nutrient-poor soils = 3</t>
  </si>
  <si>
    <t>(d) Intermediate conditions between c and e = 4</t>
  </si>
  <si>
    <t>(e) Soils with humus, well stocked with nutrients = 5</t>
  </si>
  <si>
    <t>(f) Intermediate conditions between e and g = 6</t>
  </si>
  <si>
    <t>(g) Environments with high concentrations of soil nutrients = 7</t>
  </si>
  <si>
    <t>(h) Intermediate conditions between g and i = 8</t>
  </si>
  <si>
    <t>(i) Environments with excessive concentration of nitrogen and phosphorus = 9</t>
  </si>
  <si>
    <t>(C as competitive, S as stress-tolerant, R as ruderal and the combined strategies CR, CS, SR and CSR).</t>
  </si>
  <si>
    <t>Competitive = 1</t>
  </si>
  <si>
    <t>We distinguish between species with fibrous roots (thread-like and normally tough, monocots) and those with taproots (a primary root that more or less enlarges and grows downwards, dicots)</t>
  </si>
  <si>
    <t>13. Root system (PRT)</t>
  </si>
  <si>
    <t>A species with taproot is potentially able to explore a deeper layer of soil and hence to acquire more resources</t>
  </si>
  <si>
    <t>14. Support of Arbuscular Mycorrhizal Fungi (SAM)</t>
  </si>
  <si>
    <t>An arbuscular mycorrhizal fungus (AMF) is a type of mycorrhiza in which the fungus penetrates the cortical cells of the roots of a vascular plant. AMF help plants to capture nutrients such as phosphorus, sulfur, nitrogen and micronutrients from the soil</t>
  </si>
  <si>
    <t xml:space="preserve">1 = host                                                                                                                                                                    </t>
  </si>
  <si>
    <t xml:space="preserve">0 = non host                                                                                                                                                                    </t>
  </si>
  <si>
    <t xml:space="preserve">0(1) = most observations are negative (a few positive)                                                                                                                                 </t>
  </si>
  <si>
    <t xml:space="preserve">1(0) = most observations are positive (a few negative)                                                                                                                              </t>
  </si>
  <si>
    <t xml:space="preserve">1* = presumably host (based on knowledge of other species in the same genus)                                                                                                               </t>
  </si>
  <si>
    <t xml:space="preserve">0* = presumably non-host (based on knowledge of other species in the same genus)                                                                                                           </t>
  </si>
  <si>
    <t>Although there are different plant families that have the ability of fixing atmospheric nitrogen, among arable weeds only legumes are able to do it</t>
  </si>
  <si>
    <r>
      <t>15. N</t>
    </r>
    <r>
      <rPr>
        <b/>
        <vertAlign val="subscript"/>
        <sz val="12"/>
        <color indexed="8"/>
        <rFont val="Arial"/>
        <family val="2"/>
      </rPr>
      <t>2</t>
    </r>
    <r>
      <rPr>
        <b/>
        <sz val="12"/>
        <color indexed="8"/>
        <rFont val="Arial"/>
        <family val="2"/>
      </rPr>
      <t>-fixing ability (NFA)</t>
    </r>
  </si>
  <si>
    <t>This trait indicates whether or not a species is able to support pollinators</t>
  </si>
  <si>
    <t>Umbelliferae</t>
  </si>
  <si>
    <t>Transient (&lt;1 yr)</t>
  </si>
  <si>
    <t>Short-term  (1 to 5 yr)</t>
  </si>
  <si>
    <t>Long-term (&gt;5 yr)</t>
  </si>
  <si>
    <r>
      <t>6.Specific leaf area (SLA) [cm</t>
    </r>
    <r>
      <rPr>
        <b/>
        <vertAlign val="superscript"/>
        <sz val="10"/>
        <color indexed="8"/>
        <rFont val="Arial"/>
        <family val="2"/>
      </rPr>
      <t>2</t>
    </r>
    <r>
      <rPr>
        <b/>
        <sz val="12"/>
        <color indexed="8"/>
        <rFont val="Arial"/>
        <family val="2"/>
      </rPr>
      <t xml:space="preserve"> g</t>
    </r>
    <r>
      <rPr>
        <b/>
        <vertAlign val="superscript"/>
        <sz val="12"/>
        <color indexed="8"/>
        <rFont val="Arial"/>
        <family val="2"/>
      </rPr>
      <t>-1</t>
    </r>
    <r>
      <rPr>
        <b/>
        <sz val="12"/>
        <color indexed="8"/>
        <rFont val="Arial"/>
        <family val="2"/>
      </rPr>
      <t>]</t>
    </r>
  </si>
  <si>
    <r>
      <t xml:space="preserve">Abutilon theophrasti </t>
    </r>
    <r>
      <rPr>
        <b/>
        <sz val="12"/>
        <color indexed="8"/>
        <rFont val="Arial"/>
        <family val="2"/>
      </rPr>
      <t>Medicus</t>
    </r>
  </si>
  <si>
    <r>
      <t xml:space="preserve">Polygonum lapathifolium </t>
    </r>
    <r>
      <rPr>
        <b/>
        <sz val="12"/>
        <rFont val="Arial"/>
        <family val="2"/>
      </rPr>
      <t>L.</t>
    </r>
  </si>
</sst>
</file>

<file path=xl/styles.xml><?xml version="1.0" encoding="utf-8"?>
<styleSheet xmlns="http://schemas.openxmlformats.org/spreadsheetml/2006/main">
  <fonts count="38">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1"/>
      <color indexed="10"/>
      <name val="Calibri"/>
      <family val="2"/>
    </font>
    <font>
      <b/>
      <sz val="10"/>
      <name val="Arial"/>
      <family val="2"/>
    </font>
    <font>
      <sz val="12"/>
      <name val="Arial"/>
      <family val="2"/>
    </font>
    <font>
      <b/>
      <sz val="12"/>
      <color indexed="8"/>
      <name val="Arial"/>
      <family val="2"/>
    </font>
    <font>
      <sz val="12"/>
      <color indexed="8"/>
      <name val="Arial"/>
      <family val="2"/>
    </font>
    <font>
      <b/>
      <i/>
      <sz val="12"/>
      <color indexed="8"/>
      <name val="Arial"/>
      <family val="2"/>
    </font>
    <font>
      <b/>
      <i/>
      <sz val="12"/>
      <name val="Arial"/>
      <family val="2"/>
    </font>
    <font>
      <b/>
      <sz val="12"/>
      <name val="Arial"/>
      <family val="2"/>
    </font>
    <font>
      <sz val="12"/>
      <color indexed="63"/>
      <name val="Arial"/>
      <family val="2"/>
    </font>
    <font>
      <b/>
      <sz val="9"/>
      <color indexed="9"/>
      <name val="Tahoma"/>
      <family val="2"/>
      <charset val="1"/>
    </font>
    <font>
      <sz val="9"/>
      <color indexed="9"/>
      <name val="Tahoma"/>
      <family val="2"/>
      <charset val="1"/>
    </font>
    <font>
      <i/>
      <sz val="12"/>
      <name val="Arial"/>
      <family val="2"/>
    </font>
    <font>
      <b/>
      <i/>
      <sz val="10"/>
      <name val="Arial"/>
      <family val="2"/>
    </font>
    <font>
      <sz val="10"/>
      <name val="Arial"/>
      <family val="2"/>
    </font>
    <font>
      <i/>
      <sz val="12"/>
      <color indexed="23"/>
      <name val="Arial"/>
      <family val="2"/>
    </font>
    <font>
      <sz val="12"/>
      <color indexed="8"/>
      <name val="Calibri"/>
      <family val="2"/>
    </font>
    <font>
      <b/>
      <vertAlign val="subscript"/>
      <sz val="12"/>
      <color indexed="8"/>
      <name val="Arial"/>
      <family val="2"/>
    </font>
    <font>
      <i/>
      <sz val="12"/>
      <color indexed="8"/>
      <name val="Arial"/>
      <family val="2"/>
    </font>
    <font>
      <sz val="12"/>
      <color rgb="FF00000A"/>
      <name val="Arial"/>
      <family val="2"/>
    </font>
    <font>
      <b/>
      <vertAlign val="superscript"/>
      <sz val="12"/>
      <color indexed="8"/>
      <name val="Arial"/>
      <family val="2"/>
    </font>
    <font>
      <b/>
      <vertAlign val="superscript"/>
      <sz val="10"/>
      <color indexed="8"/>
      <name val="Arial"/>
      <family val="2"/>
    </font>
    <font>
      <sz val="9"/>
      <color indexed="81"/>
      <name val="Tahoma"/>
      <charset val="1"/>
    </font>
    <font>
      <b/>
      <sz val="9"/>
      <color indexed="81"/>
      <name val="Tahoma"/>
      <charset val="1"/>
    </font>
  </fonts>
  <fills count="28">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9"/>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theme="0"/>
        <bgColor indexed="64"/>
      </patternFill>
    </fill>
    <fill>
      <patternFill patternType="solid">
        <fgColor theme="0"/>
        <bgColor indexed="27"/>
      </patternFill>
    </fill>
    <fill>
      <patternFill patternType="solid">
        <fgColor rgb="FF92D050"/>
        <bgColor indexed="64"/>
      </patternFill>
    </fill>
    <fill>
      <patternFill patternType="solid">
        <fgColor rgb="FF92D050"/>
        <bgColor indexed="27"/>
      </patternFill>
    </fill>
  </fills>
  <borders count="24">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2">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3" borderId="0" applyNumberFormat="0" applyBorder="0" applyAlignment="0" applyProtection="0"/>
    <xf numFmtId="0" fontId="4" fillId="20" borderId="1" applyNumberFormat="0" applyAlignment="0" applyProtection="0"/>
    <xf numFmtId="0" fontId="5" fillId="21" borderId="3" applyNumberFormat="0" applyAlignment="0" applyProtection="0"/>
    <xf numFmtId="0" fontId="6" fillId="0" borderId="0" applyNumberFormat="0" applyFill="0" applyBorder="0" applyAlignment="0" applyProtection="0"/>
    <xf numFmtId="2" fontId="28" fillId="0" borderId="0" applyFill="0" applyBorder="0" applyAlignment="0" applyProtection="0"/>
    <xf numFmtId="0" fontId="7" fillId="4" borderId="0" applyNumberFormat="0" applyBorder="0" applyAlignment="0" applyProtection="0"/>
    <xf numFmtId="0" fontId="8" fillId="0" borderId="4" applyNumberFormat="0" applyFill="0" applyAlignment="0" applyProtection="0"/>
    <xf numFmtId="0" fontId="9" fillId="0" borderId="5" applyNumberFormat="0" applyFill="0" applyAlignment="0" applyProtection="0"/>
    <xf numFmtId="0" fontId="10" fillId="0" borderId="6" applyNumberFormat="0" applyFill="0" applyAlignment="0" applyProtection="0"/>
    <xf numFmtId="0" fontId="10" fillId="0" borderId="0" applyNumberFormat="0" applyFill="0" applyBorder="0" applyAlignment="0" applyProtection="0"/>
    <xf numFmtId="0" fontId="11" fillId="0" borderId="2" applyNumberFormat="0" applyFill="0" applyAlignment="0" applyProtection="0"/>
    <xf numFmtId="0" fontId="12" fillId="22" borderId="0" applyNumberFormat="0" applyBorder="0" applyAlignment="0" applyProtection="0"/>
    <xf numFmtId="0" fontId="1" fillId="0" borderId="0"/>
    <xf numFmtId="0" fontId="28" fillId="23" borderId="7" applyNumberFormat="0" applyAlignment="0" applyProtection="0"/>
    <xf numFmtId="0" fontId="13" fillId="0" borderId="0" applyNumberFormat="0" applyFill="0" applyBorder="0" applyAlignment="0" applyProtection="0"/>
    <xf numFmtId="0" fontId="14" fillId="0" borderId="8" applyNumberFormat="0" applyFill="0" applyAlignment="0" applyProtection="0"/>
    <xf numFmtId="0" fontId="15" fillId="0" borderId="0" applyNumberFormat="0" applyFill="0" applyBorder="0" applyAlignment="0" applyProtection="0"/>
  </cellStyleXfs>
  <cellXfs count="131">
    <xf numFmtId="0" fontId="0" fillId="0" borderId="0" xfId="0"/>
    <xf numFmtId="0" fontId="16" fillId="0" borderId="0" xfId="0" applyFont="1"/>
    <xf numFmtId="0" fontId="17" fillId="0" borderId="0" xfId="0" applyFont="1" applyFill="1" applyAlignment="1">
      <alignment horizontal="left"/>
    </xf>
    <xf numFmtId="0" fontId="0" fillId="0" borderId="0" xfId="0" applyFont="1"/>
    <xf numFmtId="0" fontId="27" fillId="0" borderId="0" xfId="0" applyFont="1"/>
    <xf numFmtId="0" fontId="20" fillId="0" borderId="9" xfId="0" applyFont="1" applyBorder="1"/>
    <xf numFmtId="0" fontId="17" fillId="0" borderId="9" xfId="0" applyFont="1" applyBorder="1" applyAlignment="1">
      <alignment horizontal="left"/>
    </xf>
    <xf numFmtId="0" fontId="17" fillId="0" borderId="9" xfId="0" applyFont="1" applyFill="1" applyBorder="1" applyAlignment="1">
      <alignment horizontal="left"/>
    </xf>
    <xf numFmtId="2" fontId="17" fillId="0" borderId="9" xfId="0" applyNumberFormat="1" applyFont="1" applyBorder="1" applyAlignment="1">
      <alignment horizontal="left"/>
    </xf>
    <xf numFmtId="0" fontId="19" fillId="0" borderId="9" xfId="37" applyFont="1" applyFill="1" applyBorder="1" applyAlignment="1">
      <alignment horizontal="left"/>
    </xf>
    <xf numFmtId="0" fontId="21" fillId="0" borderId="9" xfId="0" applyFont="1" applyBorder="1" applyAlignment="1">
      <alignment wrapText="1"/>
    </xf>
    <xf numFmtId="0" fontId="21" fillId="0" borderId="9" xfId="0" applyFont="1" applyBorder="1"/>
    <xf numFmtId="0" fontId="17" fillId="0" borderId="9" xfId="0" applyNumberFormat="1" applyFont="1" applyFill="1" applyBorder="1" applyAlignment="1">
      <alignment horizontal="left"/>
    </xf>
    <xf numFmtId="0" fontId="23" fillId="0" borderId="9" xfId="0" applyFont="1" applyBorder="1" applyAlignment="1">
      <alignment horizontal="left"/>
    </xf>
    <xf numFmtId="0" fontId="21" fillId="0" borderId="9" xfId="0" applyFont="1" applyFill="1" applyBorder="1" applyAlignment="1">
      <alignment horizontal="left" vertical="center"/>
    </xf>
    <xf numFmtId="0" fontId="17" fillId="0" borderId="9" xfId="0" applyFont="1" applyFill="1" applyBorder="1" applyAlignment="1">
      <alignment horizontal="left" vertical="center"/>
    </xf>
    <xf numFmtId="2" fontId="17" fillId="0" borderId="9" xfId="0" applyNumberFormat="1" applyFont="1" applyFill="1" applyBorder="1" applyAlignment="1">
      <alignment horizontal="left" vertical="center"/>
    </xf>
    <xf numFmtId="0" fontId="22" fillId="0" borderId="9" xfId="0" applyFont="1" applyBorder="1"/>
    <xf numFmtId="0" fontId="21" fillId="0" borderId="9" xfId="0" applyFont="1" applyBorder="1" applyAlignment="1">
      <alignment vertical="top"/>
    </xf>
    <xf numFmtId="2" fontId="19" fillId="0" borderId="9" xfId="0" applyNumberFormat="1" applyFont="1" applyBorder="1" applyAlignment="1">
      <alignment horizontal="left"/>
    </xf>
    <xf numFmtId="0" fontId="19" fillId="0" borderId="9" xfId="0" applyFont="1" applyBorder="1" applyAlignment="1">
      <alignment horizontal="left"/>
    </xf>
    <xf numFmtId="0" fontId="21" fillId="0" borderId="9" xfId="0" applyFont="1" applyFill="1" applyBorder="1"/>
    <xf numFmtId="0" fontId="21" fillId="0" borderId="9" xfId="0" applyFont="1" applyBorder="1" applyAlignment="1">
      <alignment vertical="center"/>
    </xf>
    <xf numFmtId="2" fontId="17" fillId="0" borderId="9" xfId="0" applyNumberFormat="1" applyFont="1" applyFill="1" applyBorder="1" applyAlignment="1">
      <alignment horizontal="left"/>
    </xf>
    <xf numFmtId="0" fontId="26" fillId="0" borderId="9" xfId="0" applyFont="1" applyFill="1" applyBorder="1" applyAlignment="1">
      <alignment horizontal="left"/>
    </xf>
    <xf numFmtId="0" fontId="21" fillId="0" borderId="9" xfId="0" applyFont="1" applyBorder="1" applyAlignment="1">
      <alignment horizontal="left" vertical="center"/>
    </xf>
    <xf numFmtId="0" fontId="17" fillId="0" borderId="9" xfId="0" applyFont="1" applyBorder="1" applyAlignment="1">
      <alignment horizontal="left" vertical="center"/>
    </xf>
    <xf numFmtId="2" fontId="17" fillId="0" borderId="9" xfId="0" applyNumberFormat="1" applyFont="1" applyBorder="1" applyAlignment="1">
      <alignment horizontal="left" vertical="center"/>
    </xf>
    <xf numFmtId="0" fontId="21" fillId="0" borderId="9" xfId="0" applyFont="1" applyFill="1" applyBorder="1" applyAlignment="1">
      <alignment wrapText="1"/>
    </xf>
    <xf numFmtId="0" fontId="17" fillId="0" borderId="9" xfId="0" applyFont="1" applyFill="1" applyBorder="1" applyAlignment="1">
      <alignment horizontal="left" wrapText="1"/>
    </xf>
    <xf numFmtId="2" fontId="17" fillId="0" borderId="9" xfId="0" applyNumberFormat="1" applyFont="1" applyFill="1" applyBorder="1" applyAlignment="1">
      <alignment horizontal="left" wrapText="1"/>
    </xf>
    <xf numFmtId="0" fontId="17" fillId="0" borderId="9" xfId="0" applyFont="1" applyBorder="1" applyAlignment="1">
      <alignment horizontal="left" wrapText="1"/>
    </xf>
    <xf numFmtId="2" fontId="17" fillId="0" borderId="9" xfId="0" applyNumberFormat="1" applyFont="1" applyBorder="1" applyAlignment="1">
      <alignment horizontal="left" wrapText="1"/>
    </xf>
    <xf numFmtId="0" fontId="22" fillId="0" borderId="9" xfId="0" applyFont="1" applyFill="1" applyBorder="1"/>
    <xf numFmtId="0" fontId="21" fillId="0" borderId="9" xfId="29" applyNumberFormat="1" applyFont="1" applyFill="1" applyBorder="1" applyAlignment="1" applyProtection="1">
      <alignment horizontal="left" vertical="center"/>
    </xf>
    <xf numFmtId="0" fontId="17" fillId="0" borderId="9" xfId="29" applyNumberFormat="1" applyFont="1" applyFill="1" applyBorder="1" applyAlignment="1" applyProtection="1">
      <alignment horizontal="left" vertical="center"/>
    </xf>
    <xf numFmtId="2" fontId="17" fillId="0" borderId="9" xfId="29" applyNumberFormat="1" applyFont="1" applyFill="1" applyBorder="1" applyAlignment="1" applyProtection="1">
      <alignment horizontal="left" vertical="center"/>
    </xf>
    <xf numFmtId="0" fontId="17" fillId="0" borderId="0" xfId="0" applyFont="1"/>
    <xf numFmtId="0" fontId="22" fillId="0" borderId="0" xfId="0" applyFont="1"/>
    <xf numFmtId="0" fontId="22" fillId="0" borderId="0" xfId="0" applyFont="1" applyAlignment="1">
      <alignment horizontal="left"/>
    </xf>
    <xf numFmtId="0" fontId="22" fillId="24" borderId="0" xfId="0" applyFont="1" applyFill="1" applyAlignment="1">
      <alignment horizontal="left"/>
    </xf>
    <xf numFmtId="0" fontId="18" fillId="25" borderId="0" xfId="37" applyFont="1" applyFill="1" applyBorder="1" applyAlignment="1">
      <alignment horizontal="left" wrapText="1"/>
    </xf>
    <xf numFmtId="0" fontId="18" fillId="25" borderId="0" xfId="37" applyFont="1" applyFill="1" applyBorder="1" applyAlignment="1">
      <alignment horizontal="left" wrapText="1" shrinkToFit="1"/>
    </xf>
    <xf numFmtId="0" fontId="22" fillId="25" borderId="10" xfId="0" applyFont="1" applyFill="1" applyBorder="1" applyAlignment="1">
      <alignment horizontal="left" wrapText="1"/>
    </xf>
    <xf numFmtId="0" fontId="22" fillId="24" borderId="11" xfId="0" applyFont="1" applyFill="1" applyBorder="1" applyAlignment="1">
      <alignment horizontal="left"/>
    </xf>
    <xf numFmtId="0" fontId="22" fillId="24" borderId="12" xfId="0" applyFont="1" applyFill="1" applyBorder="1" applyAlignment="1">
      <alignment horizontal="left"/>
    </xf>
    <xf numFmtId="0" fontId="22" fillId="24" borderId="10" xfId="0" applyFont="1" applyFill="1" applyBorder="1"/>
    <xf numFmtId="0" fontId="22" fillId="24" borderId="11" xfId="0" applyFont="1" applyFill="1" applyBorder="1"/>
    <xf numFmtId="0" fontId="17" fillId="24" borderId="11" xfId="0" applyFont="1" applyFill="1" applyBorder="1"/>
    <xf numFmtId="0" fontId="17" fillId="24" borderId="12" xfId="0" applyFont="1" applyFill="1" applyBorder="1"/>
    <xf numFmtId="0" fontId="17" fillId="0" borderId="10" xfId="0" applyFont="1" applyBorder="1"/>
    <xf numFmtId="49" fontId="17" fillId="24" borderId="11" xfId="0" applyNumberFormat="1" applyFont="1" applyFill="1" applyBorder="1"/>
    <xf numFmtId="49" fontId="17" fillId="24" borderId="12" xfId="0" applyNumberFormat="1" applyFont="1" applyFill="1" applyBorder="1"/>
    <xf numFmtId="0" fontId="17" fillId="24" borderId="13" xfId="0" applyFont="1" applyFill="1" applyBorder="1"/>
    <xf numFmtId="0" fontId="17" fillId="24" borderId="14" xfId="0" applyFont="1" applyFill="1" applyBorder="1"/>
    <xf numFmtId="0" fontId="17" fillId="24" borderId="15" xfId="0" applyFont="1" applyFill="1" applyBorder="1"/>
    <xf numFmtId="0" fontId="17" fillId="24" borderId="16" xfId="0" applyFont="1" applyFill="1" applyBorder="1"/>
    <xf numFmtId="0" fontId="17" fillId="24" borderId="0" xfId="0" applyFont="1" applyFill="1" applyBorder="1"/>
    <xf numFmtId="0" fontId="17" fillId="24" borderId="17" xfId="0" applyFont="1" applyFill="1" applyBorder="1"/>
    <xf numFmtId="0" fontId="17" fillId="24" borderId="16" xfId="0" applyFont="1" applyFill="1" applyBorder="1" applyAlignment="1"/>
    <xf numFmtId="0" fontId="17" fillId="24" borderId="18" xfId="0" applyFont="1" applyFill="1" applyBorder="1"/>
    <xf numFmtId="0" fontId="17" fillId="24" borderId="19" xfId="0" applyFont="1" applyFill="1" applyBorder="1"/>
    <xf numFmtId="0" fontId="17" fillId="24" borderId="20" xfId="0" applyFont="1" applyFill="1" applyBorder="1"/>
    <xf numFmtId="0" fontId="17" fillId="24" borderId="13" xfId="0" applyNumberFormat="1" applyFont="1" applyFill="1" applyBorder="1"/>
    <xf numFmtId="0" fontId="22" fillId="26" borderId="9" xfId="0" applyFont="1" applyFill="1" applyBorder="1" applyAlignment="1">
      <alignment horizontal="left"/>
    </xf>
    <xf numFmtId="0" fontId="22" fillId="26" borderId="9" xfId="0" applyFont="1" applyFill="1" applyBorder="1"/>
    <xf numFmtId="0" fontId="22" fillId="26" borderId="0" xfId="0" applyFont="1" applyFill="1"/>
    <xf numFmtId="0" fontId="18" fillId="25" borderId="10" xfId="37" applyFont="1" applyFill="1" applyBorder="1" applyAlignment="1">
      <alignment horizontal="left" wrapText="1"/>
    </xf>
    <xf numFmtId="0" fontId="18" fillId="25" borderId="10" xfId="37" applyFont="1" applyFill="1" applyBorder="1" applyAlignment="1">
      <alignment horizontal="left" vertical="top" wrapText="1"/>
    </xf>
    <xf numFmtId="0" fontId="22" fillId="24" borderId="0" xfId="0" applyFont="1" applyFill="1" applyAlignment="1">
      <alignment vertical="top" wrapText="1"/>
    </xf>
    <xf numFmtId="0" fontId="22" fillId="24" borderId="10" xfId="0" applyFont="1" applyFill="1" applyBorder="1" applyAlignment="1">
      <alignment vertical="top" wrapText="1"/>
    </xf>
    <xf numFmtId="0" fontId="17" fillId="24" borderId="13" xfId="0" applyFont="1" applyFill="1" applyBorder="1" applyAlignment="1">
      <alignment vertical="top"/>
    </xf>
    <xf numFmtId="0" fontId="22" fillId="25" borderId="10" xfId="37" applyFont="1" applyFill="1" applyBorder="1" applyAlignment="1">
      <alignment horizontal="left" wrapText="1"/>
    </xf>
    <xf numFmtId="0" fontId="17" fillId="24" borderId="10" xfId="0" applyFont="1" applyFill="1" applyBorder="1"/>
    <xf numFmtId="0" fontId="17" fillId="0" borderId="11" xfId="0" applyFont="1" applyBorder="1"/>
    <xf numFmtId="0" fontId="19" fillId="24" borderId="13" xfId="0" applyFont="1" applyFill="1" applyBorder="1"/>
    <xf numFmtId="0" fontId="29" fillId="24" borderId="12" xfId="0" applyFont="1" applyFill="1" applyBorder="1"/>
    <xf numFmtId="0" fontId="29" fillId="24" borderId="14" xfId="0" applyFont="1" applyFill="1" applyBorder="1"/>
    <xf numFmtId="0" fontId="29" fillId="24" borderId="0" xfId="0" applyFont="1" applyFill="1" applyBorder="1"/>
    <xf numFmtId="0" fontId="29" fillId="24" borderId="16" xfId="0" applyFont="1" applyFill="1" applyBorder="1"/>
    <xf numFmtId="0" fontId="29" fillId="24" borderId="19" xfId="0" applyFont="1" applyFill="1" applyBorder="1"/>
    <xf numFmtId="0" fontId="22" fillId="24" borderId="12" xfId="0" applyFont="1" applyFill="1" applyBorder="1"/>
    <xf numFmtId="0" fontId="18" fillId="25" borderId="13" xfId="37" applyFont="1" applyFill="1" applyBorder="1" applyAlignment="1">
      <alignment horizontal="left" wrapText="1"/>
    </xf>
    <xf numFmtId="0" fontId="18" fillId="25" borderId="16" xfId="37" applyFont="1" applyFill="1" applyBorder="1" applyAlignment="1">
      <alignment horizontal="left" wrapText="1"/>
    </xf>
    <xf numFmtId="0" fontId="26" fillId="24" borderId="0" xfId="0" applyFont="1" applyFill="1" applyBorder="1"/>
    <xf numFmtId="0" fontId="17" fillId="24" borderId="16" xfId="0" applyNumberFormat="1" applyFont="1" applyFill="1" applyBorder="1"/>
    <xf numFmtId="0" fontId="26" fillId="24" borderId="19" xfId="0" applyFont="1" applyFill="1" applyBorder="1"/>
    <xf numFmtId="0" fontId="17" fillId="0" borderId="0" xfId="0" applyFont="1" applyAlignment="1">
      <alignment vertical="top"/>
    </xf>
    <xf numFmtId="0" fontId="33" fillId="24" borderId="13" xfId="0" applyFont="1" applyFill="1" applyBorder="1" applyAlignment="1">
      <alignment horizontal="left" vertical="top"/>
    </xf>
    <xf numFmtId="0" fontId="17" fillId="24" borderId="14" xfId="0" applyFont="1" applyFill="1" applyBorder="1" applyAlignment="1">
      <alignment vertical="top"/>
    </xf>
    <xf numFmtId="0" fontId="17" fillId="24" borderId="15" xfId="0" applyFont="1" applyFill="1" applyBorder="1" applyAlignment="1">
      <alignment vertical="top"/>
    </xf>
    <xf numFmtId="0" fontId="17" fillId="24" borderId="16" xfId="0" applyFont="1" applyFill="1" applyBorder="1" applyAlignment="1">
      <alignment horizontal="left" vertical="top"/>
    </xf>
    <xf numFmtId="0" fontId="17" fillId="24" borderId="0" xfId="0" applyFont="1" applyFill="1" applyBorder="1" applyAlignment="1">
      <alignment vertical="top"/>
    </xf>
    <xf numFmtId="0" fontId="17" fillId="24" borderId="17" xfId="0" applyFont="1" applyFill="1" applyBorder="1" applyAlignment="1">
      <alignment vertical="top"/>
    </xf>
    <xf numFmtId="0" fontId="17" fillId="24" borderId="18" xfId="0" applyFont="1" applyFill="1" applyBorder="1" applyAlignment="1">
      <alignment horizontal="left" vertical="top"/>
    </xf>
    <xf numFmtId="0" fontId="17" fillId="24" borderId="19" xfId="0" applyFont="1" applyFill="1" applyBorder="1" applyAlignment="1">
      <alignment vertical="top"/>
    </xf>
    <xf numFmtId="0" fontId="17" fillId="24" borderId="20" xfId="0" applyFont="1" applyFill="1" applyBorder="1" applyAlignment="1">
      <alignment vertical="top"/>
    </xf>
    <xf numFmtId="0" fontId="22" fillId="24" borderId="10" xfId="0" applyFont="1" applyFill="1" applyBorder="1" applyAlignment="1">
      <alignment vertical="top"/>
    </xf>
    <xf numFmtId="0" fontId="17" fillId="24" borderId="13" xfId="0" applyNumberFormat="1" applyFont="1" applyFill="1" applyBorder="1" applyAlignment="1">
      <alignment vertical="top"/>
    </xf>
    <xf numFmtId="0" fontId="22" fillId="24" borderId="9" xfId="0" applyFont="1" applyFill="1" applyBorder="1" applyAlignment="1">
      <alignment vertical="top"/>
    </xf>
    <xf numFmtId="0" fontId="22" fillId="25" borderId="9" xfId="37" applyFont="1" applyFill="1" applyBorder="1" applyAlignment="1">
      <alignment horizontal="left" wrapText="1"/>
    </xf>
    <xf numFmtId="0" fontId="17" fillId="24" borderId="21" xfId="0" applyFont="1" applyFill="1" applyBorder="1" applyAlignment="1">
      <alignment vertical="top"/>
    </xf>
    <xf numFmtId="0" fontId="17" fillId="24" borderId="22" xfId="0" applyFont="1" applyFill="1" applyBorder="1"/>
    <xf numFmtId="0" fontId="17" fillId="24" borderId="23" xfId="0" applyFont="1" applyFill="1" applyBorder="1"/>
    <xf numFmtId="0" fontId="22" fillId="24" borderId="22" xfId="0" applyFont="1" applyFill="1" applyBorder="1"/>
    <xf numFmtId="0" fontId="17" fillId="24" borderId="9" xfId="0" applyFont="1" applyFill="1" applyBorder="1"/>
    <xf numFmtId="0" fontId="18" fillId="25" borderId="9" xfId="37" applyFont="1" applyFill="1" applyBorder="1" applyAlignment="1">
      <alignment horizontal="left" wrapText="1"/>
    </xf>
    <xf numFmtId="0" fontId="17" fillId="24" borderId="9" xfId="0" applyFont="1" applyFill="1" applyBorder="1" applyAlignment="1">
      <alignment vertical="top"/>
    </xf>
    <xf numFmtId="0" fontId="18" fillId="24" borderId="10" xfId="37" applyFont="1" applyFill="1" applyBorder="1" applyAlignment="1">
      <alignment horizontal="left" vertical="top"/>
    </xf>
    <xf numFmtId="0" fontId="30" fillId="24" borderId="11" xfId="37" applyFont="1" applyFill="1" applyBorder="1" applyAlignment="1">
      <alignment horizontal="center"/>
    </xf>
    <xf numFmtId="0" fontId="30" fillId="24" borderId="11" xfId="37" applyFont="1" applyFill="1" applyBorder="1"/>
    <xf numFmtId="0" fontId="17" fillId="26" borderId="15" xfId="0" applyFont="1" applyFill="1" applyBorder="1"/>
    <xf numFmtId="0" fontId="17" fillId="24" borderId="18" xfId="0" applyFont="1" applyFill="1" applyBorder="1" applyAlignment="1">
      <alignment vertical="top"/>
    </xf>
    <xf numFmtId="0" fontId="22" fillId="26" borderId="13" xfId="0" applyFont="1" applyFill="1" applyBorder="1"/>
    <xf numFmtId="0" fontId="17" fillId="26" borderId="14" xfId="0" applyFont="1" applyFill="1" applyBorder="1"/>
    <xf numFmtId="0" fontId="19" fillId="24" borderId="18" xfId="37" applyFont="1" applyFill="1" applyBorder="1"/>
    <xf numFmtId="0" fontId="18" fillId="26" borderId="10" xfId="37" applyFont="1" applyFill="1" applyBorder="1"/>
    <xf numFmtId="0" fontId="22" fillId="27" borderId="10" xfId="37" applyFont="1" applyFill="1" applyBorder="1" applyAlignment="1">
      <alignment horizontal="left"/>
    </xf>
    <xf numFmtId="0" fontId="22" fillId="27" borderId="10" xfId="0" applyFont="1" applyFill="1" applyBorder="1" applyAlignment="1">
      <alignment horizontal="left" wrapText="1"/>
    </xf>
    <xf numFmtId="0" fontId="18" fillId="27" borderId="10" xfId="37" applyFont="1" applyFill="1" applyBorder="1" applyAlignment="1">
      <alignment horizontal="left" wrapText="1"/>
    </xf>
    <xf numFmtId="0" fontId="22" fillId="27" borderId="10" xfId="37" applyFont="1" applyFill="1" applyBorder="1" applyAlignment="1">
      <alignment horizontal="left" wrapText="1"/>
    </xf>
    <xf numFmtId="0" fontId="18" fillId="27" borderId="10" xfId="37" applyFont="1" applyFill="1" applyBorder="1" applyAlignment="1">
      <alignment horizontal="left" wrapText="1" shrinkToFit="1"/>
    </xf>
    <xf numFmtId="0" fontId="19" fillId="26" borderId="12" xfId="37" applyFont="1" applyFill="1" applyBorder="1"/>
    <xf numFmtId="0" fontId="22" fillId="27" borderId="12" xfId="37" applyFont="1" applyFill="1" applyBorder="1" applyAlignment="1">
      <alignment horizontal="left"/>
    </xf>
    <xf numFmtId="0" fontId="18" fillId="27" borderId="12" xfId="37" applyFont="1" applyFill="1" applyBorder="1" applyAlignment="1">
      <alignment horizontal="left" wrapText="1"/>
    </xf>
    <xf numFmtId="0" fontId="22" fillId="27" borderId="12" xfId="37" applyFont="1" applyFill="1" applyBorder="1" applyAlignment="1">
      <alignment horizontal="left" wrapText="1"/>
    </xf>
    <xf numFmtId="0" fontId="18" fillId="27" borderId="9" xfId="37" applyFont="1" applyFill="1" applyBorder="1" applyAlignment="1">
      <alignment horizontal="left" wrapText="1"/>
    </xf>
    <xf numFmtId="0" fontId="18" fillId="27" borderId="13" xfId="37" applyFont="1" applyFill="1" applyBorder="1" applyAlignment="1">
      <alignment horizontal="left" wrapText="1"/>
    </xf>
    <xf numFmtId="0" fontId="18" fillId="27" borderId="14" xfId="37" applyFont="1" applyFill="1" applyBorder="1" applyAlignment="1">
      <alignment horizontal="left" wrapText="1"/>
    </xf>
    <xf numFmtId="0" fontId="18" fillId="25" borderId="10" xfId="37" applyFont="1" applyFill="1" applyBorder="1" applyAlignment="1">
      <alignment horizontal="left" vertical="top" wrapText="1"/>
    </xf>
    <xf numFmtId="0" fontId="18" fillId="25" borderId="11" xfId="37" applyFont="1" applyFill="1" applyBorder="1" applyAlignment="1">
      <alignment horizontal="left" vertical="top" wrapText="1"/>
    </xf>
  </cellXfs>
  <cellStyles count="42">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xplanatory Text" xfId="28"/>
    <cellStyle name="Fisso" xfId="29"/>
    <cellStyle name="Good" xfId="30"/>
    <cellStyle name="Heading 1" xfId="31"/>
    <cellStyle name="Heading 2" xfId="32"/>
    <cellStyle name="Heading 3" xfId="33"/>
    <cellStyle name="Heading 4" xfId="34"/>
    <cellStyle name="Linked Cell" xfId="35"/>
    <cellStyle name="Neutral" xfId="36"/>
    <cellStyle name="Normal_Hoja1" xfId="37"/>
    <cellStyle name="Normale" xfId="0" builtinId="0"/>
    <cellStyle name="Note" xfId="38"/>
    <cellStyle name="Title" xfId="39"/>
    <cellStyle name="Total" xfId="40"/>
    <cellStyle name="Warning Text" xfId="4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C3C3C"/>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I242"/>
  <sheetViews>
    <sheetView tabSelected="1" zoomScale="80" zoomScaleNormal="80" workbookViewId="0">
      <pane xSplit="1" ySplit="2" topLeftCell="B150" activePane="bottomRight" state="frozen"/>
      <selection pane="topRight" activeCell="B1" sqref="B1"/>
      <selection pane="bottomLeft" activeCell="A3" sqref="A3"/>
      <selection pane="bottomRight" activeCell="A2" sqref="A2"/>
    </sheetView>
  </sheetViews>
  <sheetFormatPr defaultColWidth="11.42578125" defaultRowHeight="15"/>
  <cols>
    <col min="1" max="1" width="121" style="1" bestFit="1" customWidth="1"/>
    <col min="2" max="2" width="32.140625" style="2" customWidth="1"/>
    <col min="3" max="3" width="25.28515625" style="2" customWidth="1"/>
    <col min="4" max="4" width="15.140625" style="2" customWidth="1"/>
    <col min="5" max="5" width="36" style="2" customWidth="1"/>
    <col min="6" max="6" width="24.7109375" style="2" customWidth="1"/>
    <col min="7" max="7" width="21.28515625" style="2" customWidth="1"/>
    <col min="8" max="8" width="19" style="2" customWidth="1"/>
    <col min="9" max="9" width="13.42578125" style="2" customWidth="1"/>
    <col min="10" max="10" width="20.85546875" style="2" customWidth="1"/>
    <col min="11" max="11" width="17.42578125" style="2" customWidth="1"/>
    <col min="12" max="12" width="21.5703125" style="2" customWidth="1"/>
    <col min="13" max="13" width="30.42578125" style="2" customWidth="1"/>
    <col min="14" max="14" width="29.5703125" style="2" customWidth="1"/>
    <col min="15" max="15" width="32.140625" style="2" customWidth="1"/>
    <col min="16" max="16" width="30.28515625" style="2" customWidth="1"/>
    <col min="17" max="17" width="28.28515625" style="2" customWidth="1"/>
    <col min="18" max="18" width="22.28515625" style="2" customWidth="1"/>
    <col min="19" max="19" width="19.85546875" style="2" customWidth="1"/>
    <col min="20" max="20" width="29" style="2" customWidth="1"/>
    <col min="21" max="21" width="18.5703125" style="2" customWidth="1"/>
    <col min="22" max="22" width="23.140625" style="2" customWidth="1"/>
    <col min="23" max="35" width="11.42578125" style="3"/>
  </cols>
  <sheetData>
    <row r="1" spans="1:22" ht="53.25">
      <c r="A1" s="116" t="s">
        <v>0</v>
      </c>
      <c r="B1" s="117" t="s">
        <v>380</v>
      </c>
      <c r="C1" s="118" t="s">
        <v>310</v>
      </c>
      <c r="D1" s="118" t="s">
        <v>309</v>
      </c>
      <c r="E1" s="119" t="s">
        <v>308</v>
      </c>
      <c r="F1" s="120" t="s">
        <v>307</v>
      </c>
      <c r="G1" s="127" t="s">
        <v>306</v>
      </c>
      <c r="H1" s="128"/>
      <c r="I1" s="128"/>
      <c r="J1" s="119" t="s">
        <v>498</v>
      </c>
      <c r="K1" s="119" t="s">
        <v>305</v>
      </c>
      <c r="L1" s="119" t="s">
        <v>304</v>
      </c>
      <c r="M1" s="121" t="s">
        <v>311</v>
      </c>
      <c r="N1" s="120" t="s">
        <v>412</v>
      </c>
      <c r="O1" s="119" t="s">
        <v>413</v>
      </c>
      <c r="P1" s="120" t="s">
        <v>312</v>
      </c>
      <c r="Q1" s="119" t="s">
        <v>313</v>
      </c>
      <c r="R1" s="120" t="s">
        <v>314</v>
      </c>
      <c r="S1" s="119" t="s">
        <v>315</v>
      </c>
      <c r="T1" s="119" t="s">
        <v>316</v>
      </c>
      <c r="U1" s="119" t="s">
        <v>417</v>
      </c>
      <c r="V1" s="119" t="s">
        <v>414</v>
      </c>
    </row>
    <row r="2" spans="1:22" ht="31.5">
      <c r="A2" s="122"/>
      <c r="B2" s="123"/>
      <c r="C2" s="124"/>
      <c r="D2" s="124"/>
      <c r="E2" s="124"/>
      <c r="F2" s="125"/>
      <c r="G2" s="126" t="s">
        <v>495</v>
      </c>
      <c r="H2" s="126" t="s">
        <v>496</v>
      </c>
      <c r="I2" s="126" t="s">
        <v>497</v>
      </c>
      <c r="J2" s="124"/>
      <c r="K2" s="124"/>
      <c r="L2" s="124"/>
      <c r="M2" s="124"/>
      <c r="N2" s="125"/>
      <c r="O2" s="124"/>
      <c r="P2" s="125"/>
      <c r="Q2" s="124"/>
      <c r="R2" s="125"/>
      <c r="S2" s="124"/>
      <c r="T2" s="124"/>
      <c r="U2" s="124"/>
      <c r="V2" s="124"/>
    </row>
    <row r="3" spans="1:22" ht="15.75">
      <c r="A3" s="5" t="s">
        <v>499</v>
      </c>
      <c r="B3" s="6" t="s">
        <v>1</v>
      </c>
      <c r="C3" s="7">
        <v>1</v>
      </c>
      <c r="D3" s="6">
        <v>2</v>
      </c>
      <c r="E3" s="7">
        <v>1</v>
      </c>
      <c r="F3" s="7">
        <v>4</v>
      </c>
      <c r="G3" s="6">
        <v>0</v>
      </c>
      <c r="H3" s="6">
        <v>0</v>
      </c>
      <c r="I3" s="6">
        <v>1</v>
      </c>
      <c r="J3" s="7">
        <v>25</v>
      </c>
      <c r="K3" s="7">
        <v>2</v>
      </c>
      <c r="L3" s="8">
        <v>10.6</v>
      </c>
      <c r="M3" s="7" t="s">
        <v>2</v>
      </c>
      <c r="N3" s="6">
        <v>8</v>
      </c>
      <c r="O3" s="6">
        <v>7</v>
      </c>
      <c r="P3" s="6">
        <v>3</v>
      </c>
      <c r="Q3" s="6">
        <v>4</v>
      </c>
      <c r="R3" s="6">
        <v>4</v>
      </c>
      <c r="S3" s="7">
        <v>2</v>
      </c>
      <c r="T3" s="6">
        <v>1</v>
      </c>
      <c r="U3" s="7">
        <v>0</v>
      </c>
      <c r="V3" s="6">
        <v>1</v>
      </c>
    </row>
    <row r="4" spans="1:22" ht="15.75">
      <c r="A4" s="5" t="s">
        <v>3</v>
      </c>
      <c r="B4" s="6" t="s">
        <v>4</v>
      </c>
      <c r="C4" s="7">
        <v>1</v>
      </c>
      <c r="D4" s="6">
        <v>1</v>
      </c>
      <c r="E4" s="7">
        <v>1</v>
      </c>
      <c r="F4" s="7">
        <v>6</v>
      </c>
      <c r="G4" s="6" t="s">
        <v>2</v>
      </c>
      <c r="H4" s="6" t="s">
        <v>2</v>
      </c>
      <c r="I4" s="6" t="s">
        <v>2</v>
      </c>
      <c r="J4" s="7">
        <v>42.07</v>
      </c>
      <c r="K4" s="7">
        <v>0.5</v>
      </c>
      <c r="L4" s="8">
        <v>11.5</v>
      </c>
      <c r="M4" s="9" t="s">
        <v>2</v>
      </c>
      <c r="N4" s="6">
        <v>5</v>
      </c>
      <c r="O4" s="6">
        <v>5</v>
      </c>
      <c r="P4" s="6">
        <v>3</v>
      </c>
      <c r="Q4" s="6">
        <v>3</v>
      </c>
      <c r="R4" s="6">
        <v>3</v>
      </c>
      <c r="S4" s="7">
        <v>2</v>
      </c>
      <c r="T4" s="6">
        <v>1</v>
      </c>
      <c r="U4" s="7">
        <v>0</v>
      </c>
      <c r="V4" s="6">
        <v>1</v>
      </c>
    </row>
    <row r="5" spans="1:22" ht="15.75">
      <c r="A5" s="10" t="s">
        <v>5</v>
      </c>
      <c r="B5" s="6" t="s">
        <v>494</v>
      </c>
      <c r="C5" s="7">
        <v>1</v>
      </c>
      <c r="D5" s="6">
        <v>1</v>
      </c>
      <c r="E5" s="7">
        <v>1</v>
      </c>
      <c r="F5" s="7">
        <v>4</v>
      </c>
      <c r="G5" s="8">
        <f>1/35</f>
        <v>2.8571428571428571E-2</v>
      </c>
      <c r="H5" s="8">
        <f>27/35</f>
        <v>0.77142857142857146</v>
      </c>
      <c r="I5" s="8">
        <f>7/35</f>
        <v>0.2</v>
      </c>
      <c r="J5" s="7">
        <v>32.78</v>
      </c>
      <c r="K5" s="7">
        <v>1.2</v>
      </c>
      <c r="L5" s="8">
        <v>1.37</v>
      </c>
      <c r="M5" s="7">
        <v>1</v>
      </c>
      <c r="N5" s="6">
        <v>6</v>
      </c>
      <c r="O5" s="6">
        <v>4</v>
      </c>
      <c r="P5" s="6">
        <v>4</v>
      </c>
      <c r="Q5" s="6">
        <v>6</v>
      </c>
      <c r="R5" s="6">
        <v>7</v>
      </c>
      <c r="S5" s="7">
        <v>2</v>
      </c>
      <c r="T5" s="6">
        <v>1</v>
      </c>
      <c r="U5" s="7">
        <v>0</v>
      </c>
      <c r="V5" s="6">
        <v>1</v>
      </c>
    </row>
    <row r="6" spans="1:22" ht="15.75">
      <c r="A6" s="11" t="s">
        <v>6</v>
      </c>
      <c r="B6" s="6" t="s">
        <v>7</v>
      </c>
      <c r="C6" s="7">
        <v>1</v>
      </c>
      <c r="D6" s="6">
        <v>1</v>
      </c>
      <c r="E6" s="7">
        <v>1</v>
      </c>
      <c r="F6" s="7">
        <v>4</v>
      </c>
      <c r="G6" s="8">
        <f>2/5</f>
        <v>0.4</v>
      </c>
      <c r="H6" s="8">
        <f>3/5</f>
        <v>0.6</v>
      </c>
      <c r="I6" s="8">
        <v>0</v>
      </c>
      <c r="J6" s="7">
        <v>17.75</v>
      </c>
      <c r="K6" s="7">
        <v>1.0900000000000001</v>
      </c>
      <c r="L6" s="8">
        <v>13.35</v>
      </c>
      <c r="M6" s="12">
        <v>1</v>
      </c>
      <c r="N6" s="6">
        <v>6</v>
      </c>
      <c r="O6" s="6">
        <v>3</v>
      </c>
      <c r="P6" s="6">
        <v>2</v>
      </c>
      <c r="Q6" s="6">
        <v>5</v>
      </c>
      <c r="R6" s="6">
        <v>3</v>
      </c>
      <c r="S6" s="7">
        <v>2</v>
      </c>
      <c r="T6" s="6">
        <v>0</v>
      </c>
      <c r="U6" s="7">
        <v>0</v>
      </c>
      <c r="V6" s="6">
        <v>1</v>
      </c>
    </row>
    <row r="7" spans="1:22" ht="15.75">
      <c r="A7" s="11" t="s">
        <v>8</v>
      </c>
      <c r="B7" s="6" t="s">
        <v>9</v>
      </c>
      <c r="C7" s="7">
        <v>1</v>
      </c>
      <c r="D7" s="6">
        <v>1</v>
      </c>
      <c r="E7" s="7">
        <v>1</v>
      </c>
      <c r="F7" s="7">
        <v>6</v>
      </c>
      <c r="G7" s="8" t="s">
        <v>2</v>
      </c>
      <c r="H7" s="8" t="s">
        <v>2</v>
      </c>
      <c r="I7" s="8" t="s">
        <v>2</v>
      </c>
      <c r="J7" s="7">
        <v>22.48</v>
      </c>
      <c r="K7" s="7">
        <v>0.18</v>
      </c>
      <c r="L7" s="8">
        <v>1.18</v>
      </c>
      <c r="M7" s="12">
        <v>1</v>
      </c>
      <c r="N7" s="6">
        <v>5</v>
      </c>
      <c r="O7" s="6">
        <v>4</v>
      </c>
      <c r="P7" s="6">
        <v>5</v>
      </c>
      <c r="Q7" s="6">
        <v>7</v>
      </c>
      <c r="R7" s="6">
        <v>2</v>
      </c>
      <c r="S7" s="7">
        <v>2</v>
      </c>
      <c r="T7" s="6" t="s">
        <v>10</v>
      </c>
      <c r="U7" s="7">
        <v>0</v>
      </c>
      <c r="V7" s="6">
        <v>1</v>
      </c>
    </row>
    <row r="8" spans="1:22" ht="15.75">
      <c r="A8" s="11" t="s">
        <v>11</v>
      </c>
      <c r="B8" s="6" t="s">
        <v>12</v>
      </c>
      <c r="C8" s="7">
        <v>3</v>
      </c>
      <c r="D8" s="6">
        <v>1</v>
      </c>
      <c r="E8" s="7">
        <v>3</v>
      </c>
      <c r="F8" s="7">
        <v>7</v>
      </c>
      <c r="G8" s="8" t="s">
        <v>2</v>
      </c>
      <c r="H8" s="8" t="s">
        <v>2</v>
      </c>
      <c r="I8" s="8" t="s">
        <v>2</v>
      </c>
      <c r="J8" s="7" t="s">
        <v>2</v>
      </c>
      <c r="K8" s="7">
        <v>0.9</v>
      </c>
      <c r="L8" s="8">
        <v>5</v>
      </c>
      <c r="M8" s="12" t="s">
        <v>2</v>
      </c>
      <c r="N8" s="6">
        <v>6</v>
      </c>
      <c r="O8" s="6" t="s">
        <v>2</v>
      </c>
      <c r="P8" s="6">
        <v>3</v>
      </c>
      <c r="Q8" s="6" t="s">
        <v>2</v>
      </c>
      <c r="R8" s="6">
        <v>5</v>
      </c>
      <c r="S8" s="7">
        <v>1</v>
      </c>
      <c r="T8" s="6">
        <v>1</v>
      </c>
      <c r="U8" s="7">
        <v>0</v>
      </c>
      <c r="V8" s="6">
        <v>1</v>
      </c>
    </row>
    <row r="9" spans="1:22" ht="15.75">
      <c r="A9" s="11" t="s">
        <v>13</v>
      </c>
      <c r="B9" s="6" t="s">
        <v>14</v>
      </c>
      <c r="C9" s="7">
        <v>1</v>
      </c>
      <c r="D9" s="13">
        <v>3</v>
      </c>
      <c r="E9" s="7">
        <v>1</v>
      </c>
      <c r="F9" s="7">
        <v>3</v>
      </c>
      <c r="G9" s="8">
        <f>10/43</f>
        <v>0.23255813953488372</v>
      </c>
      <c r="H9" s="8">
        <f>30/43</f>
        <v>0.69767441860465118</v>
      </c>
      <c r="I9" s="8">
        <f>3/43</f>
        <v>6.9767441860465115E-2</v>
      </c>
      <c r="J9" s="7">
        <v>27.27</v>
      </c>
      <c r="K9" s="7">
        <v>0.4</v>
      </c>
      <c r="L9" s="8">
        <v>2.15</v>
      </c>
      <c r="M9" s="12">
        <v>1</v>
      </c>
      <c r="N9" s="6">
        <v>5</v>
      </c>
      <c r="O9" s="6">
        <v>4</v>
      </c>
      <c r="P9" s="6">
        <v>6</v>
      </c>
      <c r="Q9" s="6">
        <v>4</v>
      </c>
      <c r="R9" s="6">
        <v>7</v>
      </c>
      <c r="S9" s="7">
        <v>1</v>
      </c>
      <c r="T9" s="6">
        <v>1</v>
      </c>
      <c r="U9" s="7">
        <v>0</v>
      </c>
      <c r="V9" s="6">
        <v>0</v>
      </c>
    </row>
    <row r="10" spans="1:22" ht="15.75">
      <c r="A10" s="11" t="s">
        <v>15</v>
      </c>
      <c r="B10" s="6" t="s">
        <v>14</v>
      </c>
      <c r="C10" s="7">
        <v>2</v>
      </c>
      <c r="D10" s="13">
        <v>3</v>
      </c>
      <c r="E10" s="7">
        <v>4</v>
      </c>
      <c r="F10" s="7">
        <v>1</v>
      </c>
      <c r="G10" s="8">
        <f>196/214</f>
        <v>0.91588785046728971</v>
      </c>
      <c r="H10" s="8">
        <f>14/214</f>
        <v>6.5420560747663545E-2</v>
      </c>
      <c r="I10" s="8">
        <f>4/214</f>
        <v>1.8691588785046728E-2</v>
      </c>
      <c r="J10" s="7">
        <v>25</v>
      </c>
      <c r="K10" s="7">
        <v>0.7</v>
      </c>
      <c r="L10" s="8">
        <v>0.74</v>
      </c>
      <c r="M10" s="12" t="s">
        <v>2</v>
      </c>
      <c r="N10" s="6">
        <v>5</v>
      </c>
      <c r="O10" s="6">
        <v>5</v>
      </c>
      <c r="P10" s="6">
        <v>2</v>
      </c>
      <c r="Q10" s="6">
        <v>4</v>
      </c>
      <c r="R10" s="6">
        <v>7</v>
      </c>
      <c r="S10" s="7">
        <v>1</v>
      </c>
      <c r="T10" s="6">
        <v>1</v>
      </c>
      <c r="U10" s="7">
        <v>0</v>
      </c>
      <c r="V10" s="6">
        <v>0</v>
      </c>
    </row>
    <row r="11" spans="1:22" ht="15.75">
      <c r="A11" s="11" t="s">
        <v>16</v>
      </c>
      <c r="B11" s="6" t="s">
        <v>17</v>
      </c>
      <c r="C11" s="7">
        <v>1</v>
      </c>
      <c r="D11" s="6">
        <v>2</v>
      </c>
      <c r="E11" s="7">
        <v>1</v>
      </c>
      <c r="F11" s="7">
        <v>6</v>
      </c>
      <c r="G11" s="8" t="s">
        <v>2</v>
      </c>
      <c r="H11" s="8" t="s">
        <v>2</v>
      </c>
      <c r="I11" s="8" t="s">
        <v>2</v>
      </c>
      <c r="J11" s="7" t="s">
        <v>2</v>
      </c>
      <c r="K11" s="7">
        <v>0.5</v>
      </c>
      <c r="L11" s="8">
        <v>0.3</v>
      </c>
      <c r="M11" s="12" t="s">
        <v>2</v>
      </c>
      <c r="N11" s="6">
        <v>7</v>
      </c>
      <c r="O11" s="6">
        <v>6</v>
      </c>
      <c r="P11" s="6">
        <v>4</v>
      </c>
      <c r="Q11" s="6">
        <v>6</v>
      </c>
      <c r="R11" s="6">
        <v>7</v>
      </c>
      <c r="S11" s="7">
        <v>2</v>
      </c>
      <c r="T11" s="6" t="s">
        <v>18</v>
      </c>
      <c r="U11" s="7">
        <v>0</v>
      </c>
      <c r="V11" s="6">
        <v>0</v>
      </c>
    </row>
    <row r="12" spans="1:22" ht="15.75">
      <c r="A12" s="14" t="s">
        <v>19</v>
      </c>
      <c r="B12" s="6" t="s">
        <v>17</v>
      </c>
      <c r="C12" s="7">
        <v>1</v>
      </c>
      <c r="D12" s="6">
        <v>2</v>
      </c>
      <c r="E12" s="7">
        <v>1</v>
      </c>
      <c r="F12" s="7">
        <v>4</v>
      </c>
      <c r="G12" s="8" t="s">
        <v>2</v>
      </c>
      <c r="H12" s="8" t="s">
        <v>2</v>
      </c>
      <c r="I12" s="8" t="s">
        <v>2</v>
      </c>
      <c r="J12" s="7">
        <v>18.14</v>
      </c>
      <c r="K12" s="7">
        <v>0.5</v>
      </c>
      <c r="L12" s="8">
        <v>1.2</v>
      </c>
      <c r="M12" s="12" t="s">
        <v>2</v>
      </c>
      <c r="N12" s="6">
        <v>7</v>
      </c>
      <c r="O12" s="6">
        <v>7</v>
      </c>
      <c r="P12" s="6">
        <v>3</v>
      </c>
      <c r="Q12" s="6">
        <v>4</v>
      </c>
      <c r="R12" s="6">
        <v>9</v>
      </c>
      <c r="S12" s="7">
        <v>2</v>
      </c>
      <c r="T12" s="6" t="s">
        <v>18</v>
      </c>
      <c r="U12" s="7">
        <v>0</v>
      </c>
      <c r="V12" s="6">
        <v>0</v>
      </c>
    </row>
    <row r="13" spans="1:22" ht="15.75">
      <c r="A13" s="11" t="s">
        <v>20</v>
      </c>
      <c r="B13" s="6" t="s">
        <v>17</v>
      </c>
      <c r="C13" s="7">
        <v>4</v>
      </c>
      <c r="D13" s="6">
        <v>2</v>
      </c>
      <c r="E13" s="7">
        <v>1</v>
      </c>
      <c r="F13" s="7">
        <v>4</v>
      </c>
      <c r="G13" s="8" t="s">
        <v>2</v>
      </c>
      <c r="H13" s="8" t="s">
        <v>2</v>
      </c>
      <c r="I13" s="8" t="s">
        <v>2</v>
      </c>
      <c r="J13" s="7" t="s">
        <v>2</v>
      </c>
      <c r="K13" s="7">
        <v>0.4</v>
      </c>
      <c r="L13" s="6">
        <v>0.4</v>
      </c>
      <c r="M13" s="12" t="s">
        <v>2</v>
      </c>
      <c r="N13" s="6">
        <v>6</v>
      </c>
      <c r="O13" s="6">
        <v>3</v>
      </c>
      <c r="P13" s="6">
        <v>5</v>
      </c>
      <c r="Q13" s="6">
        <v>8</v>
      </c>
      <c r="R13" s="6">
        <v>9</v>
      </c>
      <c r="S13" s="7">
        <v>2</v>
      </c>
      <c r="T13" s="6" t="s">
        <v>18</v>
      </c>
      <c r="U13" s="7">
        <v>0</v>
      </c>
      <c r="V13" s="6">
        <v>0</v>
      </c>
    </row>
    <row r="14" spans="1:22" ht="15.75">
      <c r="A14" s="11" t="s">
        <v>21</v>
      </c>
      <c r="B14" s="6" t="s">
        <v>17</v>
      </c>
      <c r="C14" s="7">
        <v>1</v>
      </c>
      <c r="D14" s="6">
        <v>2</v>
      </c>
      <c r="E14" s="7">
        <v>1</v>
      </c>
      <c r="F14" s="7">
        <v>4</v>
      </c>
      <c r="G14" s="8" t="s">
        <v>2</v>
      </c>
      <c r="H14" s="8" t="s">
        <v>2</v>
      </c>
      <c r="I14" s="8" t="s">
        <v>2</v>
      </c>
      <c r="J14" s="7" t="s">
        <v>2</v>
      </c>
      <c r="K14" s="7">
        <v>0.7</v>
      </c>
      <c r="L14" s="8">
        <v>0.8</v>
      </c>
      <c r="M14" s="12" t="s">
        <v>2</v>
      </c>
      <c r="N14" s="6">
        <v>7</v>
      </c>
      <c r="O14" s="6">
        <v>6</v>
      </c>
      <c r="P14" s="6">
        <v>3</v>
      </c>
      <c r="Q14" s="6">
        <v>7</v>
      </c>
      <c r="R14" s="6">
        <v>8</v>
      </c>
      <c r="S14" s="7">
        <v>2</v>
      </c>
      <c r="T14" s="6" t="s">
        <v>18</v>
      </c>
      <c r="U14" s="7">
        <v>0</v>
      </c>
      <c r="V14" s="6">
        <v>0</v>
      </c>
    </row>
    <row r="15" spans="1:22" ht="15.75">
      <c r="A15" s="14" t="s">
        <v>22</v>
      </c>
      <c r="B15" s="15" t="s">
        <v>17</v>
      </c>
      <c r="C15" s="7">
        <v>1</v>
      </c>
      <c r="D15" s="6">
        <v>2</v>
      </c>
      <c r="E15" s="7">
        <v>1</v>
      </c>
      <c r="F15" s="15">
        <v>4</v>
      </c>
      <c r="G15" s="16" t="s">
        <v>2</v>
      </c>
      <c r="H15" s="16" t="s">
        <v>2</v>
      </c>
      <c r="I15" s="16" t="s">
        <v>2</v>
      </c>
      <c r="J15" s="7">
        <v>35.86</v>
      </c>
      <c r="K15" s="7">
        <v>0.65</v>
      </c>
      <c r="L15" s="8">
        <v>0.27</v>
      </c>
      <c r="M15" s="12" t="s">
        <v>2</v>
      </c>
      <c r="N15" s="15">
        <v>7</v>
      </c>
      <c r="O15" s="6">
        <v>7</v>
      </c>
      <c r="P15" s="15">
        <v>3</v>
      </c>
      <c r="Q15" s="6">
        <v>4</v>
      </c>
      <c r="R15" s="15">
        <v>8</v>
      </c>
      <c r="S15" s="7">
        <v>2</v>
      </c>
      <c r="T15" s="15" t="s">
        <v>2</v>
      </c>
      <c r="U15" s="7">
        <v>0</v>
      </c>
      <c r="V15" s="15" t="s">
        <v>2</v>
      </c>
    </row>
    <row r="16" spans="1:22" ht="15.75">
      <c r="A16" s="17" t="s">
        <v>23</v>
      </c>
      <c r="B16" s="6" t="s">
        <v>17</v>
      </c>
      <c r="C16" s="7">
        <v>1</v>
      </c>
      <c r="D16" s="6">
        <v>2</v>
      </c>
      <c r="E16" s="7">
        <v>1</v>
      </c>
      <c r="F16" s="7">
        <v>4</v>
      </c>
      <c r="G16" s="8">
        <f>7/33</f>
        <v>0.21212121212121213</v>
      </c>
      <c r="H16" s="8">
        <f>8/33</f>
        <v>0.24242424242424243</v>
      </c>
      <c r="I16" s="8">
        <f>18/33</f>
        <v>0.54545454545454541</v>
      </c>
      <c r="J16" s="7">
        <v>16.16</v>
      </c>
      <c r="K16" s="7">
        <v>0.72</v>
      </c>
      <c r="L16" s="8">
        <v>0.4</v>
      </c>
      <c r="M16" s="12" t="s">
        <v>2</v>
      </c>
      <c r="N16" s="6">
        <v>7</v>
      </c>
      <c r="O16" s="6">
        <v>7</v>
      </c>
      <c r="P16" s="6">
        <v>3</v>
      </c>
      <c r="Q16" s="6">
        <v>5</v>
      </c>
      <c r="R16" s="6">
        <v>9</v>
      </c>
      <c r="S16" s="7">
        <v>2</v>
      </c>
      <c r="T16" s="6">
        <v>0</v>
      </c>
      <c r="U16" s="7">
        <v>0</v>
      </c>
      <c r="V16" s="6">
        <v>0</v>
      </c>
    </row>
    <row r="17" spans="1:22" ht="15.75">
      <c r="A17" s="11" t="s">
        <v>24</v>
      </c>
      <c r="B17" s="6" t="s">
        <v>25</v>
      </c>
      <c r="C17" s="7">
        <v>1</v>
      </c>
      <c r="D17" s="6">
        <v>2</v>
      </c>
      <c r="E17" s="7">
        <v>1</v>
      </c>
      <c r="F17" s="7">
        <v>4</v>
      </c>
      <c r="G17" s="8">
        <f>8/15</f>
        <v>0.53333333333333333</v>
      </c>
      <c r="H17" s="8">
        <v>0</v>
      </c>
      <c r="I17" s="8">
        <f>7/15</f>
        <v>0.46666666666666667</v>
      </c>
      <c r="J17" s="7">
        <v>22.81</v>
      </c>
      <c r="K17" s="7">
        <v>1</v>
      </c>
      <c r="L17" s="8">
        <v>3.99</v>
      </c>
      <c r="M17" s="12" t="s">
        <v>2</v>
      </c>
      <c r="N17" s="6">
        <v>7</v>
      </c>
      <c r="O17" s="6" t="s">
        <v>2</v>
      </c>
      <c r="P17" s="6">
        <v>2</v>
      </c>
      <c r="Q17" s="6" t="s">
        <v>2</v>
      </c>
      <c r="R17" s="6">
        <v>1</v>
      </c>
      <c r="S17" s="7">
        <v>2</v>
      </c>
      <c r="T17" s="6" t="s">
        <v>2</v>
      </c>
      <c r="U17" s="7">
        <v>0</v>
      </c>
      <c r="V17" s="15" t="s">
        <v>2</v>
      </c>
    </row>
    <row r="18" spans="1:22" ht="15.75">
      <c r="A18" s="11" t="s">
        <v>26</v>
      </c>
      <c r="B18" s="6" t="s">
        <v>494</v>
      </c>
      <c r="C18" s="7">
        <v>1</v>
      </c>
      <c r="D18" s="6">
        <v>1</v>
      </c>
      <c r="E18" s="7">
        <v>1</v>
      </c>
      <c r="F18" s="7">
        <v>4</v>
      </c>
      <c r="G18" s="8">
        <v>0.5</v>
      </c>
      <c r="H18" s="8">
        <v>0.5</v>
      </c>
      <c r="I18" s="8">
        <v>0</v>
      </c>
      <c r="J18" s="7">
        <v>34.44</v>
      </c>
      <c r="K18" s="7">
        <v>0.55000000000000004</v>
      </c>
      <c r="L18" s="8">
        <v>0.6</v>
      </c>
      <c r="M18" s="12" t="s">
        <v>2</v>
      </c>
      <c r="N18" s="6">
        <v>6</v>
      </c>
      <c r="O18" s="6">
        <v>6</v>
      </c>
      <c r="P18" s="6">
        <v>4</v>
      </c>
      <c r="Q18" s="6">
        <v>4</v>
      </c>
      <c r="R18" s="6">
        <v>2</v>
      </c>
      <c r="S18" s="7">
        <v>2</v>
      </c>
      <c r="T18" s="6">
        <v>1</v>
      </c>
      <c r="U18" s="7">
        <v>0</v>
      </c>
      <c r="V18" s="6">
        <v>1</v>
      </c>
    </row>
    <row r="19" spans="1:22" ht="15.75">
      <c r="A19" s="11" t="s">
        <v>390</v>
      </c>
      <c r="B19" s="6" t="s">
        <v>27</v>
      </c>
      <c r="C19" s="7">
        <v>1</v>
      </c>
      <c r="D19" s="6">
        <v>2</v>
      </c>
      <c r="E19" s="7">
        <v>1</v>
      </c>
      <c r="F19" s="7">
        <v>3</v>
      </c>
      <c r="G19" s="8">
        <f>18/100</f>
        <v>0.18</v>
      </c>
      <c r="H19" s="8">
        <f>39/100</f>
        <v>0.39</v>
      </c>
      <c r="I19" s="8">
        <f>43/100</f>
        <v>0.43</v>
      </c>
      <c r="J19" s="7">
        <v>29.22</v>
      </c>
      <c r="K19" s="7">
        <v>0.3</v>
      </c>
      <c r="L19" s="8">
        <v>0.48</v>
      </c>
      <c r="M19" s="12">
        <v>2</v>
      </c>
      <c r="N19" s="6">
        <v>6</v>
      </c>
      <c r="O19" s="6">
        <v>2</v>
      </c>
      <c r="P19" s="6">
        <v>5</v>
      </c>
      <c r="Q19" s="6">
        <v>9</v>
      </c>
      <c r="R19" s="6">
        <v>6</v>
      </c>
      <c r="S19" s="7">
        <v>2</v>
      </c>
      <c r="T19" s="6">
        <v>1</v>
      </c>
      <c r="U19" s="7">
        <v>0</v>
      </c>
      <c r="V19" s="6">
        <v>1</v>
      </c>
    </row>
    <row r="20" spans="1:22" ht="15.75">
      <c r="A20" s="11" t="s">
        <v>28</v>
      </c>
      <c r="B20" s="6" t="s">
        <v>27</v>
      </c>
      <c r="C20" s="7">
        <v>1</v>
      </c>
      <c r="D20" s="6">
        <v>2</v>
      </c>
      <c r="E20" s="7">
        <v>1</v>
      </c>
      <c r="F20" s="7">
        <v>3</v>
      </c>
      <c r="G20" s="8" t="s">
        <v>2</v>
      </c>
      <c r="H20" s="8" t="s">
        <v>2</v>
      </c>
      <c r="I20" s="8" t="s">
        <v>2</v>
      </c>
      <c r="J20" s="7">
        <v>27.41</v>
      </c>
      <c r="K20" s="7">
        <v>0.22</v>
      </c>
      <c r="L20" s="8">
        <v>0.5</v>
      </c>
      <c r="M20" s="12" t="s">
        <v>2</v>
      </c>
      <c r="N20" s="6">
        <v>6</v>
      </c>
      <c r="O20" s="6">
        <v>2</v>
      </c>
      <c r="P20" s="6">
        <v>4</v>
      </c>
      <c r="Q20" s="6">
        <v>9</v>
      </c>
      <c r="R20" s="6">
        <v>5</v>
      </c>
      <c r="S20" s="7">
        <v>2</v>
      </c>
      <c r="T20" s="6" t="s">
        <v>10</v>
      </c>
      <c r="U20" s="7">
        <v>0</v>
      </c>
      <c r="V20" s="6">
        <v>1</v>
      </c>
    </row>
    <row r="21" spans="1:22" ht="15.75">
      <c r="A21" s="11" t="s">
        <v>29</v>
      </c>
      <c r="B21" s="6" t="s">
        <v>30</v>
      </c>
      <c r="C21" s="7">
        <v>1</v>
      </c>
      <c r="D21" s="6">
        <v>1</v>
      </c>
      <c r="E21" s="7">
        <v>1</v>
      </c>
      <c r="F21" s="7">
        <v>4</v>
      </c>
      <c r="G21" s="8">
        <f>8/11</f>
        <v>0.72727272727272729</v>
      </c>
      <c r="H21" s="8">
        <f>3/11</f>
        <v>0.27272727272727271</v>
      </c>
      <c r="I21" s="8">
        <v>0</v>
      </c>
      <c r="J21" s="7">
        <v>16.53</v>
      </c>
      <c r="K21" s="7">
        <v>0.28000000000000003</v>
      </c>
      <c r="L21" s="8">
        <v>5.55</v>
      </c>
      <c r="M21" s="12">
        <v>1</v>
      </c>
      <c r="N21" s="6">
        <v>5</v>
      </c>
      <c r="O21" s="6">
        <v>4</v>
      </c>
      <c r="P21" s="6">
        <v>3</v>
      </c>
      <c r="Q21" s="6">
        <v>6</v>
      </c>
      <c r="R21" s="6">
        <v>4</v>
      </c>
      <c r="S21" s="7">
        <v>2</v>
      </c>
      <c r="T21" s="6" t="s">
        <v>2</v>
      </c>
      <c r="U21" s="7">
        <v>0</v>
      </c>
      <c r="V21" s="15" t="s">
        <v>2</v>
      </c>
    </row>
    <row r="22" spans="1:22" ht="15.75">
      <c r="A22" s="11" t="s">
        <v>31</v>
      </c>
      <c r="B22" s="6" t="s">
        <v>25</v>
      </c>
      <c r="C22" s="7">
        <v>1</v>
      </c>
      <c r="D22" s="6">
        <v>1</v>
      </c>
      <c r="E22" s="7">
        <v>1</v>
      </c>
      <c r="F22" s="7">
        <v>4</v>
      </c>
      <c r="G22" s="8">
        <v>0</v>
      </c>
      <c r="H22" s="8">
        <v>0</v>
      </c>
      <c r="I22" s="8">
        <v>1</v>
      </c>
      <c r="J22" s="7">
        <v>31.42</v>
      </c>
      <c r="K22" s="7">
        <v>0.38</v>
      </c>
      <c r="L22" s="8">
        <v>1.02</v>
      </c>
      <c r="M22" s="12">
        <v>1</v>
      </c>
      <c r="N22" s="6">
        <v>5</v>
      </c>
      <c r="O22" s="6">
        <v>5</v>
      </c>
      <c r="P22" s="6">
        <v>6</v>
      </c>
      <c r="Q22" s="6">
        <v>5</v>
      </c>
      <c r="R22" s="6">
        <v>6</v>
      </c>
      <c r="S22" s="7">
        <v>2</v>
      </c>
      <c r="T22" s="6">
        <v>1</v>
      </c>
      <c r="U22" s="7">
        <v>0</v>
      </c>
      <c r="V22" s="6">
        <v>1</v>
      </c>
    </row>
    <row r="23" spans="1:22" ht="15.75">
      <c r="A23" s="11" t="s">
        <v>32</v>
      </c>
      <c r="B23" s="6" t="s">
        <v>33</v>
      </c>
      <c r="C23" s="7">
        <v>1</v>
      </c>
      <c r="D23" s="6">
        <v>2</v>
      </c>
      <c r="E23" s="7">
        <v>1</v>
      </c>
      <c r="F23" s="7">
        <v>3</v>
      </c>
      <c r="G23" s="8" t="s">
        <v>2</v>
      </c>
      <c r="H23" s="8" t="s">
        <v>2</v>
      </c>
      <c r="I23" s="8" t="s">
        <v>2</v>
      </c>
      <c r="J23" s="7" t="s">
        <v>2</v>
      </c>
      <c r="K23" s="7">
        <v>0.5</v>
      </c>
      <c r="L23" s="8">
        <v>0.1</v>
      </c>
      <c r="M23" s="12" t="s">
        <v>2</v>
      </c>
      <c r="N23" s="6">
        <v>5</v>
      </c>
      <c r="O23" s="6">
        <v>4</v>
      </c>
      <c r="P23" s="6">
        <v>4</v>
      </c>
      <c r="Q23" s="6">
        <v>6</v>
      </c>
      <c r="R23" s="6">
        <v>5</v>
      </c>
      <c r="S23" s="7">
        <v>2</v>
      </c>
      <c r="T23" s="6" t="s">
        <v>2</v>
      </c>
      <c r="U23" s="7">
        <v>0</v>
      </c>
      <c r="V23" s="15" t="s">
        <v>2</v>
      </c>
    </row>
    <row r="24" spans="1:22" ht="15.75">
      <c r="A24" s="11" t="s">
        <v>34</v>
      </c>
      <c r="B24" s="6" t="s">
        <v>14</v>
      </c>
      <c r="C24" s="7">
        <v>1</v>
      </c>
      <c r="D24" s="6">
        <v>3</v>
      </c>
      <c r="E24" s="7">
        <v>1</v>
      </c>
      <c r="F24" s="7">
        <v>4</v>
      </c>
      <c r="G24" s="8">
        <f>20/44</f>
        <v>0.45454545454545453</v>
      </c>
      <c r="H24" s="8">
        <f>16/44</f>
        <v>0.36363636363636365</v>
      </c>
      <c r="I24" s="8">
        <f>8/44</f>
        <v>0.18181818181818182</v>
      </c>
      <c r="J24" s="7">
        <v>19.13</v>
      </c>
      <c r="K24" s="7">
        <v>0.85</v>
      </c>
      <c r="L24" s="8">
        <v>0.1</v>
      </c>
      <c r="M24" s="12">
        <v>1</v>
      </c>
      <c r="N24" s="6">
        <v>5</v>
      </c>
      <c r="O24" s="6" t="s">
        <v>2</v>
      </c>
      <c r="P24" s="6">
        <v>1</v>
      </c>
      <c r="Q24" s="6" t="s">
        <v>2</v>
      </c>
      <c r="R24" s="6">
        <v>4</v>
      </c>
      <c r="S24" s="7">
        <v>1</v>
      </c>
      <c r="T24" s="6" t="s">
        <v>2</v>
      </c>
      <c r="U24" s="7">
        <v>0</v>
      </c>
      <c r="V24" s="6" t="s">
        <v>2</v>
      </c>
    </row>
    <row r="25" spans="1:22">
      <c r="A25" s="10" t="s">
        <v>35</v>
      </c>
      <c r="B25" s="6" t="s">
        <v>36</v>
      </c>
      <c r="C25" s="7">
        <v>1</v>
      </c>
      <c r="D25" s="6">
        <v>1</v>
      </c>
      <c r="E25" s="7">
        <v>1</v>
      </c>
      <c r="F25" s="7">
        <v>3</v>
      </c>
      <c r="G25" s="8">
        <f>5/33</f>
        <v>0.15151515151515152</v>
      </c>
      <c r="H25" s="8">
        <f>14/33</f>
        <v>0.42424242424242425</v>
      </c>
      <c r="I25" s="8">
        <f>14/33</f>
        <v>0.42424242424242425</v>
      </c>
      <c r="J25" s="7">
        <v>17.7</v>
      </c>
      <c r="K25" s="7">
        <v>0.2</v>
      </c>
      <c r="L25" s="8">
        <v>0.2</v>
      </c>
      <c r="M25" s="12">
        <v>1</v>
      </c>
      <c r="N25" s="6">
        <v>5</v>
      </c>
      <c r="O25" s="6">
        <v>4</v>
      </c>
      <c r="P25" s="6">
        <v>5</v>
      </c>
      <c r="Q25" s="6">
        <v>4</v>
      </c>
      <c r="R25" s="6">
        <v>5</v>
      </c>
      <c r="S25" s="7">
        <v>2</v>
      </c>
      <c r="T25" s="6" t="s">
        <v>10</v>
      </c>
      <c r="U25" s="7">
        <v>0</v>
      </c>
      <c r="V25" s="6">
        <v>1</v>
      </c>
    </row>
    <row r="26" spans="1:22" ht="15.75">
      <c r="A26" s="11" t="s">
        <v>37</v>
      </c>
      <c r="B26" s="6" t="s">
        <v>38</v>
      </c>
      <c r="C26" s="7">
        <v>1</v>
      </c>
      <c r="D26" s="6">
        <v>1</v>
      </c>
      <c r="E26" s="7">
        <v>1</v>
      </c>
      <c r="F26" s="7">
        <v>3</v>
      </c>
      <c r="G26" s="8">
        <f>24/73</f>
        <v>0.32876712328767121</v>
      </c>
      <c r="H26" s="8">
        <f>38/73</f>
        <v>0.52054794520547942</v>
      </c>
      <c r="I26" s="8">
        <f>11/73</f>
        <v>0.15068493150684931</v>
      </c>
      <c r="J26" s="7">
        <v>32.9</v>
      </c>
      <c r="K26" s="7">
        <v>0.3</v>
      </c>
      <c r="L26" s="8">
        <v>0.01</v>
      </c>
      <c r="M26" s="12">
        <v>1</v>
      </c>
      <c r="N26" s="6">
        <v>4</v>
      </c>
      <c r="O26" s="6">
        <v>2</v>
      </c>
      <c r="P26" s="6">
        <v>2</v>
      </c>
      <c r="Q26" s="6">
        <v>5</v>
      </c>
      <c r="R26" s="6">
        <v>4</v>
      </c>
      <c r="S26" s="7">
        <v>2</v>
      </c>
      <c r="T26" s="6" t="s">
        <v>39</v>
      </c>
      <c r="U26" s="7">
        <v>0</v>
      </c>
      <c r="V26" s="6">
        <v>1</v>
      </c>
    </row>
    <row r="27" spans="1:22" ht="15.75">
      <c r="A27" s="18" t="s">
        <v>40</v>
      </c>
      <c r="B27" s="6" t="s">
        <v>14</v>
      </c>
      <c r="C27" s="7">
        <v>2</v>
      </c>
      <c r="D27" s="13">
        <v>3</v>
      </c>
      <c r="E27" s="7">
        <v>5</v>
      </c>
      <c r="F27" s="7">
        <v>1</v>
      </c>
      <c r="G27" s="8">
        <f>251/267</f>
        <v>0.94007490636704116</v>
      </c>
      <c r="H27" s="8">
        <f>15/267</f>
        <v>5.6179775280898875E-2</v>
      </c>
      <c r="I27" s="8">
        <f>1/267</f>
        <v>3.7453183520599251E-3</v>
      </c>
      <c r="J27" s="7">
        <v>28.29</v>
      </c>
      <c r="K27" s="7">
        <v>1.37</v>
      </c>
      <c r="L27" s="8">
        <v>2.7</v>
      </c>
      <c r="M27" s="12">
        <v>3</v>
      </c>
      <c r="N27" s="6">
        <v>6</v>
      </c>
      <c r="O27" s="6">
        <v>5</v>
      </c>
      <c r="P27" s="6">
        <v>5</v>
      </c>
      <c r="Q27" s="6" t="s">
        <v>41</v>
      </c>
      <c r="R27" s="6">
        <v>7</v>
      </c>
      <c r="S27" s="7">
        <v>1</v>
      </c>
      <c r="T27" s="6" t="s">
        <v>42</v>
      </c>
      <c r="U27" s="7">
        <v>0</v>
      </c>
      <c r="V27" s="6">
        <v>0</v>
      </c>
    </row>
    <row r="28" spans="1:22" ht="15.75">
      <c r="A28" s="10" t="s">
        <v>43</v>
      </c>
      <c r="B28" s="6" t="s">
        <v>25</v>
      </c>
      <c r="C28" s="7">
        <v>2</v>
      </c>
      <c r="D28" s="6">
        <v>1</v>
      </c>
      <c r="E28" s="7">
        <v>3</v>
      </c>
      <c r="F28" s="7">
        <v>1</v>
      </c>
      <c r="G28" s="8">
        <f>39/59</f>
        <v>0.66101694915254239</v>
      </c>
      <c r="H28" s="8">
        <f>17/59</f>
        <v>0.28813559322033899</v>
      </c>
      <c r="I28" s="8">
        <f>3/59</f>
        <v>5.0847457627118647E-2</v>
      </c>
      <c r="J28" s="7">
        <v>24.12</v>
      </c>
      <c r="K28" s="7">
        <v>2.25</v>
      </c>
      <c r="L28" s="8">
        <v>0.11</v>
      </c>
      <c r="M28" s="12">
        <v>2</v>
      </c>
      <c r="N28" s="6">
        <v>7</v>
      </c>
      <c r="O28" s="6">
        <v>6</v>
      </c>
      <c r="P28" s="6">
        <v>5</v>
      </c>
      <c r="Q28" s="6" t="s">
        <v>44</v>
      </c>
      <c r="R28" s="6">
        <v>5</v>
      </c>
      <c r="S28" s="7">
        <v>2</v>
      </c>
      <c r="T28" s="6">
        <v>1</v>
      </c>
      <c r="U28" s="7">
        <v>0</v>
      </c>
      <c r="V28" s="6">
        <v>1</v>
      </c>
    </row>
    <row r="29" spans="1:22" ht="15.75">
      <c r="A29" s="11" t="s">
        <v>45</v>
      </c>
      <c r="B29" s="6" t="s">
        <v>14</v>
      </c>
      <c r="C29" s="7">
        <v>6</v>
      </c>
      <c r="D29" s="13">
        <v>3</v>
      </c>
      <c r="E29" s="7">
        <v>5</v>
      </c>
      <c r="F29" s="7" t="s">
        <v>46</v>
      </c>
      <c r="G29" s="19" t="s">
        <v>2</v>
      </c>
      <c r="H29" s="19" t="s">
        <v>2</v>
      </c>
      <c r="I29" s="19" t="s">
        <v>2</v>
      </c>
      <c r="J29" s="7">
        <v>23.5</v>
      </c>
      <c r="K29" s="7">
        <v>6</v>
      </c>
      <c r="L29" s="8">
        <v>0.1</v>
      </c>
      <c r="M29" s="12" t="s">
        <v>2</v>
      </c>
      <c r="N29" s="6">
        <v>7</v>
      </c>
      <c r="O29" s="6">
        <v>9</v>
      </c>
      <c r="P29" s="6">
        <v>2</v>
      </c>
      <c r="Q29" s="6">
        <v>4</v>
      </c>
      <c r="R29" s="6">
        <v>6</v>
      </c>
      <c r="S29" s="7">
        <v>1</v>
      </c>
      <c r="T29" s="20" t="s">
        <v>2</v>
      </c>
      <c r="U29" s="7">
        <v>0</v>
      </c>
      <c r="V29" s="20" t="s">
        <v>2</v>
      </c>
    </row>
    <row r="30" spans="1:22" ht="15.75">
      <c r="A30" s="11" t="s">
        <v>47</v>
      </c>
      <c r="B30" s="6" t="s">
        <v>25</v>
      </c>
      <c r="C30" s="7">
        <v>5</v>
      </c>
      <c r="D30" s="13">
        <v>2</v>
      </c>
      <c r="E30" s="7">
        <v>1</v>
      </c>
      <c r="F30" s="7" t="s">
        <v>48</v>
      </c>
      <c r="G30" s="8" t="s">
        <v>2</v>
      </c>
      <c r="H30" s="8" t="s">
        <v>2</v>
      </c>
      <c r="I30" s="8" t="s">
        <v>2</v>
      </c>
      <c r="J30" s="7" t="s">
        <v>2</v>
      </c>
      <c r="K30" s="7">
        <v>1</v>
      </c>
      <c r="L30" s="8">
        <v>0.1</v>
      </c>
      <c r="M30" s="12" t="s">
        <v>2</v>
      </c>
      <c r="N30" s="6">
        <v>9</v>
      </c>
      <c r="O30" s="6">
        <v>9</v>
      </c>
      <c r="P30" s="6">
        <v>1</v>
      </c>
      <c r="Q30" s="6">
        <v>6</v>
      </c>
      <c r="R30" s="6">
        <v>7</v>
      </c>
      <c r="S30" s="7">
        <v>2</v>
      </c>
      <c r="T30" s="6" t="s">
        <v>2</v>
      </c>
      <c r="U30" s="7">
        <v>0</v>
      </c>
      <c r="V30" s="6" t="s">
        <v>2</v>
      </c>
    </row>
    <row r="31" spans="1:22" ht="15.75">
      <c r="A31" s="11" t="s">
        <v>49</v>
      </c>
      <c r="B31" s="6" t="s">
        <v>50</v>
      </c>
      <c r="C31" s="7">
        <v>1</v>
      </c>
      <c r="D31" s="6">
        <v>2</v>
      </c>
      <c r="E31" s="7">
        <v>1</v>
      </c>
      <c r="F31" s="7">
        <v>3</v>
      </c>
      <c r="G31" s="8" t="s">
        <v>2</v>
      </c>
      <c r="H31" s="8" t="s">
        <v>2</v>
      </c>
      <c r="I31" s="8" t="s">
        <v>2</v>
      </c>
      <c r="J31" s="7">
        <v>20.97</v>
      </c>
      <c r="K31" s="7">
        <v>1.05</v>
      </c>
      <c r="L31" s="8">
        <v>2.7</v>
      </c>
      <c r="M31" s="12">
        <v>2</v>
      </c>
      <c r="N31" s="6">
        <v>7</v>
      </c>
      <c r="O31" s="6">
        <v>5</v>
      </c>
      <c r="P31" s="6">
        <v>3</v>
      </c>
      <c r="Q31" s="6">
        <v>6</v>
      </c>
      <c r="R31" s="6">
        <v>9</v>
      </c>
      <c r="S31" s="7">
        <v>2</v>
      </c>
      <c r="T31" s="6" t="s">
        <v>2</v>
      </c>
      <c r="U31" s="7">
        <v>0</v>
      </c>
      <c r="V31" s="6" t="s">
        <v>2</v>
      </c>
    </row>
    <row r="32" spans="1:22" ht="15.75">
      <c r="A32" s="11" t="s">
        <v>51</v>
      </c>
      <c r="B32" s="6" t="s">
        <v>50</v>
      </c>
      <c r="C32" s="7">
        <v>1</v>
      </c>
      <c r="D32" s="6">
        <v>2</v>
      </c>
      <c r="E32" s="7">
        <v>1</v>
      </c>
      <c r="F32" s="7">
        <v>4</v>
      </c>
      <c r="G32" s="8">
        <f>12/26</f>
        <v>0.46153846153846156</v>
      </c>
      <c r="H32" s="8">
        <f>5/26</f>
        <v>0.19230769230769232</v>
      </c>
      <c r="I32" s="8">
        <f>9/26</f>
        <v>0.34615384615384615</v>
      </c>
      <c r="J32" s="7">
        <v>17.37</v>
      </c>
      <c r="K32" s="7">
        <v>1.1000000000000001</v>
      </c>
      <c r="L32" s="8">
        <v>2.31</v>
      </c>
      <c r="M32" s="12">
        <v>2</v>
      </c>
      <c r="N32" s="6">
        <v>7</v>
      </c>
      <c r="O32" s="6">
        <v>7</v>
      </c>
      <c r="P32" s="6">
        <v>4</v>
      </c>
      <c r="Q32" s="6">
        <v>5</v>
      </c>
      <c r="R32" s="6">
        <v>10</v>
      </c>
      <c r="S32" s="7">
        <v>2</v>
      </c>
      <c r="T32" s="6">
        <v>1</v>
      </c>
      <c r="U32" s="7">
        <v>0</v>
      </c>
      <c r="V32" s="6">
        <v>1</v>
      </c>
    </row>
    <row r="33" spans="1:22" ht="15.75">
      <c r="A33" s="11" t="s">
        <v>52</v>
      </c>
      <c r="B33" s="6" t="s">
        <v>14</v>
      </c>
      <c r="C33" s="7">
        <v>1</v>
      </c>
      <c r="D33" s="13">
        <v>3</v>
      </c>
      <c r="E33" s="7">
        <v>1</v>
      </c>
      <c r="F33" s="7">
        <v>4</v>
      </c>
      <c r="G33" s="8">
        <f>11/59</f>
        <v>0.1864406779661017</v>
      </c>
      <c r="H33" s="8">
        <f>41/59</f>
        <v>0.69491525423728817</v>
      </c>
      <c r="I33" s="8">
        <f>7/59</f>
        <v>0.11864406779661017</v>
      </c>
      <c r="J33" s="7">
        <v>21.78</v>
      </c>
      <c r="K33" s="7">
        <v>1</v>
      </c>
      <c r="L33" s="8">
        <v>18.57</v>
      </c>
      <c r="M33" s="12">
        <v>2</v>
      </c>
      <c r="N33" s="6">
        <v>6</v>
      </c>
      <c r="O33" s="6">
        <v>4</v>
      </c>
      <c r="P33" s="6">
        <v>3</v>
      </c>
      <c r="Q33" s="6">
        <v>5</v>
      </c>
      <c r="R33" s="6">
        <v>10</v>
      </c>
      <c r="S33" s="7">
        <v>2</v>
      </c>
      <c r="T33" s="6">
        <v>1</v>
      </c>
      <c r="U33" s="7">
        <v>0</v>
      </c>
      <c r="V33" s="6">
        <v>0</v>
      </c>
    </row>
    <row r="34" spans="1:22" ht="15.75">
      <c r="A34" s="11" t="s">
        <v>53</v>
      </c>
      <c r="B34" s="6" t="s">
        <v>14</v>
      </c>
      <c r="C34" s="7">
        <v>1</v>
      </c>
      <c r="D34" s="6">
        <v>3</v>
      </c>
      <c r="E34" s="7">
        <v>1</v>
      </c>
      <c r="F34" s="7">
        <v>4</v>
      </c>
      <c r="G34" s="8">
        <v>1</v>
      </c>
      <c r="H34" s="8">
        <v>0</v>
      </c>
      <c r="I34" s="8">
        <v>0</v>
      </c>
      <c r="J34" s="7">
        <v>20.75</v>
      </c>
      <c r="K34" s="7">
        <v>1.29</v>
      </c>
      <c r="L34" s="8">
        <v>34.700000000000003</v>
      </c>
      <c r="M34" s="12" t="s">
        <v>2</v>
      </c>
      <c r="N34" s="6">
        <v>6</v>
      </c>
      <c r="O34" s="6" t="s">
        <v>2</v>
      </c>
      <c r="P34" s="6">
        <v>3</v>
      </c>
      <c r="Q34" s="6" t="s">
        <v>2</v>
      </c>
      <c r="R34" s="6">
        <v>6</v>
      </c>
      <c r="S34" s="7">
        <v>1</v>
      </c>
      <c r="T34" s="6">
        <v>1</v>
      </c>
      <c r="U34" s="7">
        <v>0</v>
      </c>
      <c r="V34" s="6">
        <v>0</v>
      </c>
    </row>
    <row r="35" spans="1:22" ht="15.75">
      <c r="A35" s="11" t="s">
        <v>54</v>
      </c>
      <c r="B35" s="6" t="s">
        <v>38</v>
      </c>
      <c r="C35" s="7">
        <v>2</v>
      </c>
      <c r="D35" s="6">
        <v>1</v>
      </c>
      <c r="E35" s="7">
        <v>2</v>
      </c>
      <c r="F35" s="7">
        <v>4</v>
      </c>
      <c r="G35" s="8">
        <f>9/12</f>
        <v>0.75</v>
      </c>
      <c r="H35" s="8">
        <f>2/12</f>
        <v>0.16666666666666666</v>
      </c>
      <c r="I35" s="8">
        <f>1/12</f>
        <v>8.3333333333333329E-2</v>
      </c>
      <c r="J35" s="7">
        <v>26.65</v>
      </c>
      <c r="K35" s="7">
        <v>0.8</v>
      </c>
      <c r="L35" s="8">
        <v>0.65</v>
      </c>
      <c r="M35" s="12">
        <v>1</v>
      </c>
      <c r="N35" s="6">
        <v>5</v>
      </c>
      <c r="O35" s="6">
        <v>4</v>
      </c>
      <c r="P35" s="6">
        <v>3</v>
      </c>
      <c r="Q35" s="6">
        <v>4</v>
      </c>
      <c r="R35" s="6">
        <v>6</v>
      </c>
      <c r="S35" s="7">
        <v>2</v>
      </c>
      <c r="T35" s="6">
        <v>0</v>
      </c>
      <c r="U35" s="7">
        <v>0</v>
      </c>
      <c r="V35" s="6">
        <v>1</v>
      </c>
    </row>
    <row r="36" spans="1:22" ht="15.75">
      <c r="A36" s="11" t="s">
        <v>55</v>
      </c>
      <c r="B36" s="6" t="s">
        <v>25</v>
      </c>
      <c r="C36" s="7">
        <v>2</v>
      </c>
      <c r="D36" s="6">
        <v>1</v>
      </c>
      <c r="E36" s="7">
        <v>5</v>
      </c>
      <c r="F36" s="7">
        <v>7</v>
      </c>
      <c r="G36" s="8">
        <f>53/95</f>
        <v>0.55789473684210522</v>
      </c>
      <c r="H36" s="8">
        <f>32/95</f>
        <v>0.33684210526315789</v>
      </c>
      <c r="I36" s="8">
        <f>10/95</f>
        <v>0.10526315789473684</v>
      </c>
      <c r="J36" s="7">
        <v>27.08</v>
      </c>
      <c r="K36" s="7">
        <v>0.1</v>
      </c>
      <c r="L36" s="8">
        <v>0.1</v>
      </c>
      <c r="M36" s="12">
        <v>1</v>
      </c>
      <c r="N36" s="6">
        <v>1</v>
      </c>
      <c r="O36" s="6" t="s">
        <v>56</v>
      </c>
      <c r="P36" s="6">
        <v>11</v>
      </c>
      <c r="Q36" s="6" t="s">
        <v>57</v>
      </c>
      <c r="R36" s="6">
        <v>5</v>
      </c>
      <c r="S36" s="7">
        <v>2</v>
      </c>
      <c r="T36" s="6">
        <v>1</v>
      </c>
      <c r="U36" s="7">
        <v>0</v>
      </c>
      <c r="V36" s="6">
        <v>1</v>
      </c>
    </row>
    <row r="37" spans="1:22" ht="15.75">
      <c r="A37" s="11" t="s">
        <v>58</v>
      </c>
      <c r="B37" s="6" t="s">
        <v>50</v>
      </c>
      <c r="C37" s="7">
        <v>2</v>
      </c>
      <c r="D37" s="6">
        <v>1</v>
      </c>
      <c r="E37" s="7">
        <v>3</v>
      </c>
      <c r="F37" s="7">
        <v>5</v>
      </c>
      <c r="G37" s="8">
        <v>0</v>
      </c>
      <c r="H37" s="8">
        <v>0</v>
      </c>
      <c r="I37" s="8">
        <v>1</v>
      </c>
      <c r="J37" s="7">
        <v>21.11</v>
      </c>
      <c r="K37" s="7">
        <v>1.6</v>
      </c>
      <c r="L37" s="8">
        <v>15.4</v>
      </c>
      <c r="M37" s="12">
        <v>2</v>
      </c>
      <c r="N37" s="6">
        <v>7</v>
      </c>
      <c r="O37" s="6">
        <v>4</v>
      </c>
      <c r="P37" s="6">
        <v>3</v>
      </c>
      <c r="Q37" s="6">
        <v>6</v>
      </c>
      <c r="R37" s="6">
        <v>5</v>
      </c>
      <c r="S37" s="7">
        <v>2</v>
      </c>
      <c r="T37" s="6" t="s">
        <v>39</v>
      </c>
      <c r="U37" s="7">
        <v>0</v>
      </c>
      <c r="V37" s="6">
        <v>1</v>
      </c>
    </row>
    <row r="38" spans="1:22" ht="15.75">
      <c r="A38" s="11" t="s">
        <v>59</v>
      </c>
      <c r="B38" s="6" t="s">
        <v>60</v>
      </c>
      <c r="C38" s="7">
        <v>1</v>
      </c>
      <c r="D38" s="6">
        <v>2</v>
      </c>
      <c r="E38" s="7">
        <v>1</v>
      </c>
      <c r="F38" s="7">
        <v>4</v>
      </c>
      <c r="G38" s="19">
        <f>38/98</f>
        <v>0.38775510204081631</v>
      </c>
      <c r="H38" s="19">
        <f>38/98</f>
        <v>0.38775510204081631</v>
      </c>
      <c r="I38" s="19">
        <f>22/98</f>
        <v>0.22448979591836735</v>
      </c>
      <c r="J38" s="7">
        <v>23.88</v>
      </c>
      <c r="K38" s="7">
        <v>1.47</v>
      </c>
      <c r="L38" s="8">
        <v>6.9</v>
      </c>
      <c r="M38" s="12">
        <v>1</v>
      </c>
      <c r="N38" s="6">
        <v>5</v>
      </c>
      <c r="O38" s="6">
        <v>5</v>
      </c>
      <c r="P38" s="6">
        <v>3</v>
      </c>
      <c r="Q38" s="6" t="s">
        <v>41</v>
      </c>
      <c r="R38" s="6">
        <v>3</v>
      </c>
      <c r="S38" s="7">
        <v>2</v>
      </c>
      <c r="T38" s="20" t="s">
        <v>2</v>
      </c>
      <c r="U38" s="7">
        <v>0</v>
      </c>
      <c r="V38" s="20" t="s">
        <v>2</v>
      </c>
    </row>
    <row r="39" spans="1:22" ht="15.75">
      <c r="A39" s="11" t="s">
        <v>61</v>
      </c>
      <c r="B39" s="6" t="s">
        <v>30</v>
      </c>
      <c r="C39" s="7">
        <v>1</v>
      </c>
      <c r="D39" s="6">
        <v>1</v>
      </c>
      <c r="E39" s="7">
        <v>1</v>
      </c>
      <c r="F39" s="7">
        <v>4</v>
      </c>
      <c r="G39" s="8">
        <v>1</v>
      </c>
      <c r="H39" s="8">
        <v>0</v>
      </c>
      <c r="I39" s="8">
        <v>0</v>
      </c>
      <c r="J39" s="7">
        <v>25.13</v>
      </c>
      <c r="K39" s="7">
        <v>0.5</v>
      </c>
      <c r="L39" s="8">
        <v>15.5</v>
      </c>
      <c r="M39" s="12" t="s">
        <v>2</v>
      </c>
      <c r="N39" s="6">
        <v>6</v>
      </c>
      <c r="O39" s="6">
        <v>3</v>
      </c>
      <c r="P39" s="6">
        <v>2</v>
      </c>
      <c r="Q39" s="6" t="s">
        <v>62</v>
      </c>
      <c r="R39" s="6">
        <v>5</v>
      </c>
      <c r="S39" s="7">
        <v>2</v>
      </c>
      <c r="T39" s="6">
        <v>0</v>
      </c>
      <c r="U39" s="7">
        <v>0</v>
      </c>
      <c r="V39" s="6">
        <v>1</v>
      </c>
    </row>
    <row r="40" spans="1:22" ht="15.75">
      <c r="A40" s="11" t="s">
        <v>63</v>
      </c>
      <c r="B40" s="6" t="s">
        <v>38</v>
      </c>
      <c r="C40" s="7">
        <v>1</v>
      </c>
      <c r="D40" s="6">
        <v>1</v>
      </c>
      <c r="E40" s="7">
        <v>1</v>
      </c>
      <c r="F40" s="7">
        <v>4</v>
      </c>
      <c r="G40" s="8">
        <v>0</v>
      </c>
      <c r="H40" s="8">
        <v>1</v>
      </c>
      <c r="I40" s="8">
        <v>0</v>
      </c>
      <c r="J40" s="7">
        <v>25.53</v>
      </c>
      <c r="K40" s="7">
        <v>0.8</v>
      </c>
      <c r="L40" s="8">
        <v>2.5</v>
      </c>
      <c r="M40" s="12" t="s">
        <v>2</v>
      </c>
      <c r="N40" s="6">
        <v>6</v>
      </c>
      <c r="O40" s="6">
        <v>5</v>
      </c>
      <c r="P40" s="6">
        <v>4</v>
      </c>
      <c r="Q40" s="6">
        <v>3</v>
      </c>
      <c r="R40" s="6" t="s">
        <v>2</v>
      </c>
      <c r="S40" s="7">
        <v>2</v>
      </c>
      <c r="T40" s="6">
        <v>0</v>
      </c>
      <c r="U40" s="7">
        <v>0</v>
      </c>
      <c r="V40" s="6">
        <v>1</v>
      </c>
    </row>
    <row r="41" spans="1:22" ht="15.75">
      <c r="A41" s="21" t="s">
        <v>64</v>
      </c>
      <c r="B41" s="6" t="s">
        <v>38</v>
      </c>
      <c r="C41" s="7">
        <v>1</v>
      </c>
      <c r="D41" s="6">
        <v>1</v>
      </c>
      <c r="E41" s="7">
        <v>2</v>
      </c>
      <c r="F41" s="7">
        <v>4</v>
      </c>
      <c r="G41" s="8">
        <v>0.5</v>
      </c>
      <c r="H41" s="8">
        <v>0</v>
      </c>
      <c r="I41" s="8">
        <v>0.5</v>
      </c>
      <c r="J41" s="7">
        <v>24.81</v>
      </c>
      <c r="K41" s="7">
        <v>1.05</v>
      </c>
      <c r="L41" s="8">
        <v>4.4000000000000004</v>
      </c>
      <c r="M41" s="12" t="s">
        <v>2</v>
      </c>
      <c r="N41" s="6">
        <v>4</v>
      </c>
      <c r="O41" s="6" t="s">
        <v>2</v>
      </c>
      <c r="P41" s="6">
        <v>6</v>
      </c>
      <c r="Q41" s="6" t="s">
        <v>2</v>
      </c>
      <c r="R41" s="6">
        <v>4</v>
      </c>
      <c r="S41" s="7">
        <v>2</v>
      </c>
      <c r="T41" s="6">
        <v>0</v>
      </c>
      <c r="U41" s="7">
        <v>0</v>
      </c>
      <c r="V41" s="6">
        <v>1</v>
      </c>
    </row>
    <row r="42" spans="1:22" ht="15.75">
      <c r="A42" s="11" t="s">
        <v>65</v>
      </c>
      <c r="B42" s="6" t="s">
        <v>38</v>
      </c>
      <c r="C42" s="7">
        <v>1</v>
      </c>
      <c r="D42" s="6">
        <v>1</v>
      </c>
      <c r="E42" s="7">
        <v>1</v>
      </c>
      <c r="F42" s="7">
        <v>4</v>
      </c>
      <c r="G42" s="8">
        <v>0</v>
      </c>
      <c r="H42" s="8">
        <v>0.16666666666666666</v>
      </c>
      <c r="I42" s="8">
        <f>5/6</f>
        <v>0.83333333333333337</v>
      </c>
      <c r="J42" s="7">
        <v>26.62</v>
      </c>
      <c r="K42" s="7">
        <v>0.88</v>
      </c>
      <c r="L42" s="8">
        <v>1.45</v>
      </c>
      <c r="M42" s="12">
        <v>2</v>
      </c>
      <c r="N42" s="6">
        <v>6</v>
      </c>
      <c r="O42" s="6">
        <v>4</v>
      </c>
      <c r="P42" s="6">
        <v>4</v>
      </c>
      <c r="Q42" s="6">
        <v>4</v>
      </c>
      <c r="R42" s="6">
        <v>4</v>
      </c>
      <c r="S42" s="7">
        <v>2</v>
      </c>
      <c r="T42" s="6">
        <v>0</v>
      </c>
      <c r="U42" s="7">
        <v>0</v>
      </c>
      <c r="V42" s="6">
        <v>1</v>
      </c>
    </row>
    <row r="43" spans="1:22" ht="15.75">
      <c r="A43" s="11" t="s">
        <v>66</v>
      </c>
      <c r="B43" s="6" t="s">
        <v>38</v>
      </c>
      <c r="C43" s="7">
        <v>4</v>
      </c>
      <c r="D43" s="6">
        <v>1</v>
      </c>
      <c r="E43" s="7">
        <v>3</v>
      </c>
      <c r="F43" s="7">
        <v>4</v>
      </c>
      <c r="G43" s="8">
        <v>1</v>
      </c>
      <c r="H43" s="8">
        <v>0</v>
      </c>
      <c r="I43" s="8">
        <v>0</v>
      </c>
      <c r="J43" s="7">
        <v>21.13</v>
      </c>
      <c r="K43" s="7">
        <v>0.76</v>
      </c>
      <c r="L43" s="8">
        <v>3</v>
      </c>
      <c r="M43" s="12">
        <v>1</v>
      </c>
      <c r="N43" s="6">
        <v>5</v>
      </c>
      <c r="O43" s="6">
        <v>2</v>
      </c>
      <c r="P43" s="6">
        <v>5</v>
      </c>
      <c r="Q43" s="6">
        <v>4</v>
      </c>
      <c r="R43" s="6">
        <v>1</v>
      </c>
      <c r="S43" s="7">
        <v>2</v>
      </c>
      <c r="T43" s="6" t="s">
        <v>39</v>
      </c>
      <c r="U43" s="7">
        <v>0</v>
      </c>
      <c r="V43" s="6">
        <v>1</v>
      </c>
    </row>
    <row r="44" spans="1:22" ht="15.75">
      <c r="A44" s="18" t="s">
        <v>67</v>
      </c>
      <c r="B44" s="6" t="s">
        <v>38</v>
      </c>
      <c r="C44" s="7">
        <v>1</v>
      </c>
      <c r="D44" s="6">
        <v>1</v>
      </c>
      <c r="E44" s="7">
        <v>2</v>
      </c>
      <c r="F44" s="7">
        <v>4</v>
      </c>
      <c r="G44" s="8">
        <f>2/18</f>
        <v>0.1111111111111111</v>
      </c>
      <c r="H44" s="8">
        <f>5/18</f>
        <v>0.27777777777777779</v>
      </c>
      <c r="I44" s="8">
        <f>11/18</f>
        <v>0.61111111111111116</v>
      </c>
      <c r="J44" s="7">
        <v>25.54</v>
      </c>
      <c r="K44" s="7">
        <v>0.78</v>
      </c>
      <c r="L44" s="8">
        <v>2.8</v>
      </c>
      <c r="M44" s="12" t="s">
        <v>2</v>
      </c>
      <c r="N44" s="6">
        <v>4</v>
      </c>
      <c r="O44" s="6">
        <v>4</v>
      </c>
      <c r="P44" s="6">
        <v>6</v>
      </c>
      <c r="Q44" s="6">
        <v>3</v>
      </c>
      <c r="R44" s="6">
        <v>4</v>
      </c>
      <c r="S44" s="7">
        <v>2</v>
      </c>
      <c r="T44" s="6">
        <v>0</v>
      </c>
      <c r="U44" s="7">
        <v>0</v>
      </c>
      <c r="V44" s="6">
        <v>1</v>
      </c>
    </row>
    <row r="45" spans="1:22" ht="15.75">
      <c r="A45" s="11" t="s">
        <v>68</v>
      </c>
      <c r="B45" s="6" t="s">
        <v>14</v>
      </c>
      <c r="C45" s="7">
        <v>1</v>
      </c>
      <c r="D45" s="13">
        <v>3</v>
      </c>
      <c r="E45" s="7">
        <v>1</v>
      </c>
      <c r="F45" s="7">
        <v>4</v>
      </c>
      <c r="G45" s="8">
        <f>83/96</f>
        <v>0.86458333333333337</v>
      </c>
      <c r="H45" s="8">
        <f>12/96</f>
        <v>0.125</v>
      </c>
      <c r="I45" s="8">
        <f>1/96</f>
        <v>1.0416666666666666E-2</v>
      </c>
      <c r="J45" s="7">
        <v>27.25</v>
      </c>
      <c r="K45" s="7">
        <v>0.8</v>
      </c>
      <c r="L45" s="8">
        <v>2.09</v>
      </c>
      <c r="M45" s="12">
        <v>2</v>
      </c>
      <c r="N45" s="6">
        <v>5</v>
      </c>
      <c r="O45" s="6">
        <v>4</v>
      </c>
      <c r="P45" s="6">
        <v>4</v>
      </c>
      <c r="Q45" s="6">
        <v>4</v>
      </c>
      <c r="R45" s="6">
        <v>10</v>
      </c>
      <c r="S45" s="7">
        <v>1</v>
      </c>
      <c r="T45" s="6">
        <v>1</v>
      </c>
      <c r="U45" s="7">
        <v>0</v>
      </c>
      <c r="V45" s="6">
        <v>0</v>
      </c>
    </row>
    <row r="46" spans="1:22" ht="15.75">
      <c r="A46" s="11" t="s">
        <v>69</v>
      </c>
      <c r="B46" s="6" t="s">
        <v>14</v>
      </c>
      <c r="C46" s="7">
        <v>1</v>
      </c>
      <c r="D46" s="13">
        <v>3</v>
      </c>
      <c r="E46" s="7">
        <v>1</v>
      </c>
      <c r="F46" s="7">
        <v>4</v>
      </c>
      <c r="G46" s="8">
        <v>1</v>
      </c>
      <c r="H46" s="8">
        <v>0</v>
      </c>
      <c r="I46" s="8">
        <v>0</v>
      </c>
      <c r="J46" s="7">
        <v>31.82</v>
      </c>
      <c r="K46" s="7">
        <v>0.5</v>
      </c>
      <c r="L46" s="8">
        <v>7.9</v>
      </c>
      <c r="M46" s="12">
        <v>1</v>
      </c>
      <c r="N46" s="6">
        <v>5</v>
      </c>
      <c r="O46" s="6">
        <v>4</v>
      </c>
      <c r="P46" s="6">
        <v>2</v>
      </c>
      <c r="Q46" s="6">
        <v>5</v>
      </c>
      <c r="R46" s="6">
        <v>5</v>
      </c>
      <c r="S46" s="7">
        <v>1</v>
      </c>
      <c r="T46" s="6" t="s">
        <v>42</v>
      </c>
      <c r="U46" s="7">
        <v>0</v>
      </c>
      <c r="V46" s="6">
        <v>0</v>
      </c>
    </row>
    <row r="47" spans="1:22" ht="15.75">
      <c r="A47" s="11" t="s">
        <v>70</v>
      </c>
      <c r="B47" s="6" t="s">
        <v>14</v>
      </c>
      <c r="C47" s="7">
        <v>1</v>
      </c>
      <c r="D47" s="13">
        <v>3</v>
      </c>
      <c r="E47" s="7">
        <v>1</v>
      </c>
      <c r="F47" s="7">
        <v>3</v>
      </c>
      <c r="G47" s="8">
        <v>0</v>
      </c>
      <c r="H47" s="8">
        <v>1</v>
      </c>
      <c r="I47" s="8">
        <v>0</v>
      </c>
      <c r="J47" s="7">
        <v>34.770000000000003</v>
      </c>
      <c r="K47" s="7">
        <v>0.36</v>
      </c>
      <c r="L47" s="8">
        <v>3.15</v>
      </c>
      <c r="M47" s="12" t="s">
        <v>2</v>
      </c>
      <c r="N47" s="6">
        <v>5</v>
      </c>
      <c r="O47" s="6">
        <v>5</v>
      </c>
      <c r="P47" s="6">
        <v>2</v>
      </c>
      <c r="Q47" s="6">
        <v>4</v>
      </c>
      <c r="R47" s="6">
        <v>4</v>
      </c>
      <c r="S47" s="7">
        <v>1</v>
      </c>
      <c r="T47" s="6" t="s">
        <v>39</v>
      </c>
      <c r="U47" s="7">
        <v>0</v>
      </c>
      <c r="V47" s="6">
        <v>0</v>
      </c>
    </row>
    <row r="48" spans="1:22" ht="15.75">
      <c r="A48" s="11" t="s">
        <v>71</v>
      </c>
      <c r="B48" s="6" t="s">
        <v>14</v>
      </c>
      <c r="C48" s="7">
        <v>1</v>
      </c>
      <c r="D48" s="13">
        <v>1</v>
      </c>
      <c r="E48" s="7">
        <v>1</v>
      </c>
      <c r="F48" s="7">
        <v>4</v>
      </c>
      <c r="G48" s="8" t="s">
        <v>2</v>
      </c>
      <c r="H48" s="8" t="s">
        <v>2</v>
      </c>
      <c r="I48" s="8" t="s">
        <v>2</v>
      </c>
      <c r="J48" s="7">
        <v>31.05</v>
      </c>
      <c r="K48" s="7">
        <v>0.2</v>
      </c>
      <c r="L48" s="8">
        <v>4.5999999999999996</v>
      </c>
      <c r="M48" s="12" t="s">
        <v>2</v>
      </c>
      <c r="N48" s="6">
        <v>6</v>
      </c>
      <c r="O48" s="6">
        <v>4</v>
      </c>
      <c r="P48" s="6">
        <v>5</v>
      </c>
      <c r="Q48" s="6">
        <v>8</v>
      </c>
      <c r="R48" s="6">
        <v>4</v>
      </c>
      <c r="S48" s="7">
        <v>2</v>
      </c>
      <c r="T48" s="6">
        <v>1</v>
      </c>
      <c r="U48" s="7">
        <v>0</v>
      </c>
      <c r="V48" s="6">
        <v>1</v>
      </c>
    </row>
    <row r="49" spans="1:22" ht="15.75">
      <c r="A49" s="11" t="s">
        <v>72</v>
      </c>
      <c r="B49" s="6" t="s">
        <v>73</v>
      </c>
      <c r="C49" s="7">
        <v>3</v>
      </c>
      <c r="D49" s="6">
        <v>2</v>
      </c>
      <c r="E49" s="7">
        <v>7</v>
      </c>
      <c r="F49" s="7">
        <v>1</v>
      </c>
      <c r="G49" s="8">
        <f>29/37</f>
        <v>0.78378378378378377</v>
      </c>
      <c r="H49" s="8">
        <f>1/37</f>
        <v>2.7027027027027029E-2</v>
      </c>
      <c r="I49" s="8">
        <f>7/37</f>
        <v>0.1891891891891892</v>
      </c>
      <c r="J49" s="7">
        <v>37.049999999999997</v>
      </c>
      <c r="K49" s="7">
        <v>2.0499999999999998</v>
      </c>
      <c r="L49" s="8">
        <v>32.6</v>
      </c>
      <c r="M49" s="12">
        <v>1</v>
      </c>
      <c r="N49" s="6">
        <v>6</v>
      </c>
      <c r="O49" s="6">
        <v>5</v>
      </c>
      <c r="P49" s="6">
        <v>4</v>
      </c>
      <c r="Q49" s="6">
        <v>6</v>
      </c>
      <c r="R49" s="6">
        <v>9</v>
      </c>
      <c r="S49" s="7">
        <v>2</v>
      </c>
      <c r="T49" s="6">
        <v>1</v>
      </c>
      <c r="U49" s="7">
        <v>0</v>
      </c>
      <c r="V49" s="6">
        <v>1</v>
      </c>
    </row>
    <row r="50" spans="1:22" ht="15.75">
      <c r="A50" s="11" t="s">
        <v>74</v>
      </c>
      <c r="B50" s="6" t="s">
        <v>75</v>
      </c>
      <c r="C50" s="7">
        <v>1</v>
      </c>
      <c r="D50" s="13">
        <v>2</v>
      </c>
      <c r="E50" s="7">
        <v>1</v>
      </c>
      <c r="F50" s="7" t="s">
        <v>48</v>
      </c>
      <c r="G50" s="8" t="s">
        <v>2</v>
      </c>
      <c r="H50" s="8" t="s">
        <v>2</v>
      </c>
      <c r="I50" s="8" t="s">
        <v>2</v>
      </c>
      <c r="J50" s="7" t="s">
        <v>2</v>
      </c>
      <c r="K50" s="7">
        <v>0.3</v>
      </c>
      <c r="L50" s="8" t="s">
        <v>2</v>
      </c>
      <c r="M50" s="12" t="s">
        <v>2</v>
      </c>
      <c r="N50" s="6">
        <v>3</v>
      </c>
      <c r="O50" s="6">
        <v>4</v>
      </c>
      <c r="P50" s="6">
        <v>3</v>
      </c>
      <c r="Q50" s="6">
        <v>5</v>
      </c>
      <c r="R50" s="6">
        <v>1</v>
      </c>
      <c r="S50" s="7">
        <v>2</v>
      </c>
      <c r="T50" s="6" t="s">
        <v>2</v>
      </c>
      <c r="U50" s="7">
        <v>0</v>
      </c>
      <c r="V50" s="6" t="s">
        <v>2</v>
      </c>
    </row>
    <row r="51" spans="1:22" ht="15.75">
      <c r="A51" s="11" t="s">
        <v>76</v>
      </c>
      <c r="B51" s="6" t="s">
        <v>38</v>
      </c>
      <c r="C51" s="7">
        <v>1</v>
      </c>
      <c r="D51" s="13">
        <v>1</v>
      </c>
      <c r="E51" s="7">
        <v>2</v>
      </c>
      <c r="F51" s="7">
        <v>3</v>
      </c>
      <c r="G51" s="19">
        <f>58/167</f>
        <v>0.3473053892215569</v>
      </c>
      <c r="H51" s="19">
        <f>67/167</f>
        <v>0.40119760479041916</v>
      </c>
      <c r="I51" s="19">
        <f>42/167</f>
        <v>0.25149700598802394</v>
      </c>
      <c r="J51" s="7">
        <v>30.03</v>
      </c>
      <c r="K51" s="7">
        <v>0.33</v>
      </c>
      <c r="L51" s="8">
        <v>0.1</v>
      </c>
      <c r="M51" s="12">
        <v>1</v>
      </c>
      <c r="N51" s="6">
        <v>1</v>
      </c>
      <c r="O51" s="6">
        <v>1</v>
      </c>
      <c r="P51" s="6">
        <v>6</v>
      </c>
      <c r="Q51" s="6">
        <v>12</v>
      </c>
      <c r="R51" s="6">
        <v>4</v>
      </c>
      <c r="S51" s="7">
        <v>2</v>
      </c>
      <c r="T51" s="20" t="s">
        <v>2</v>
      </c>
      <c r="U51" s="7">
        <v>0</v>
      </c>
      <c r="V51" s="20" t="s">
        <v>2</v>
      </c>
    </row>
    <row r="52" spans="1:22" ht="15.75">
      <c r="A52" s="11" t="s">
        <v>77</v>
      </c>
      <c r="B52" s="6" t="s">
        <v>38</v>
      </c>
      <c r="C52" s="7">
        <v>1</v>
      </c>
      <c r="D52" s="13">
        <v>1</v>
      </c>
      <c r="E52" s="7">
        <v>1</v>
      </c>
      <c r="F52" s="7">
        <v>7</v>
      </c>
      <c r="G52" s="8">
        <f>33/77</f>
        <v>0.42857142857142855</v>
      </c>
      <c r="H52" s="8">
        <f>34/77</f>
        <v>0.44155844155844154</v>
      </c>
      <c r="I52" s="8">
        <f>10/77</f>
        <v>0.12987012987012986</v>
      </c>
      <c r="J52" s="7">
        <v>27.78</v>
      </c>
      <c r="K52" s="7">
        <v>0.23</v>
      </c>
      <c r="L52" s="8">
        <v>0.14000000000000001</v>
      </c>
      <c r="M52" s="12">
        <v>1</v>
      </c>
      <c r="N52" s="6">
        <v>3</v>
      </c>
      <c r="O52" s="6">
        <v>2</v>
      </c>
      <c r="P52" s="6">
        <v>4</v>
      </c>
      <c r="Q52" s="6">
        <v>4</v>
      </c>
      <c r="R52" s="6">
        <v>4</v>
      </c>
      <c r="S52" s="7">
        <v>2</v>
      </c>
      <c r="T52" s="6" t="s">
        <v>39</v>
      </c>
      <c r="U52" s="7">
        <v>0</v>
      </c>
      <c r="V52" s="6">
        <v>1</v>
      </c>
    </row>
    <row r="53" spans="1:22" ht="15.75">
      <c r="A53" s="10" t="s">
        <v>389</v>
      </c>
      <c r="B53" s="6" t="s">
        <v>25</v>
      </c>
      <c r="C53" s="7">
        <v>1</v>
      </c>
      <c r="D53" s="13">
        <v>1</v>
      </c>
      <c r="E53" s="7">
        <v>1</v>
      </c>
      <c r="F53" s="7">
        <v>4</v>
      </c>
      <c r="G53" s="8">
        <f>2/15</f>
        <v>0.13333333333333333</v>
      </c>
      <c r="H53" s="8">
        <f>7/15</f>
        <v>0.46666666666666667</v>
      </c>
      <c r="I53" s="8">
        <f>6/15</f>
        <v>0.4</v>
      </c>
      <c r="J53" s="7">
        <v>21.06</v>
      </c>
      <c r="K53" s="7">
        <v>0.73</v>
      </c>
      <c r="L53" s="8">
        <v>3.3</v>
      </c>
      <c r="M53" s="12">
        <v>1</v>
      </c>
      <c r="N53" s="6">
        <v>6</v>
      </c>
      <c r="O53" s="6">
        <v>5</v>
      </c>
      <c r="P53" s="6">
        <v>5</v>
      </c>
      <c r="Q53" s="6">
        <v>3</v>
      </c>
      <c r="R53" s="6">
        <v>3</v>
      </c>
      <c r="S53" s="7">
        <v>2</v>
      </c>
      <c r="T53" s="6">
        <v>1</v>
      </c>
      <c r="U53" s="7">
        <v>0</v>
      </c>
      <c r="V53" s="6">
        <v>1</v>
      </c>
    </row>
    <row r="54" spans="1:22" ht="15.75">
      <c r="A54" s="11" t="s">
        <v>78</v>
      </c>
      <c r="B54" s="6" t="s">
        <v>79</v>
      </c>
      <c r="C54" s="7">
        <v>2</v>
      </c>
      <c r="D54" s="6">
        <v>2</v>
      </c>
      <c r="E54" s="7">
        <v>2</v>
      </c>
      <c r="F54" s="7">
        <v>6</v>
      </c>
      <c r="G54" s="8">
        <f>4/19</f>
        <v>0.21052631578947367</v>
      </c>
      <c r="H54" s="8">
        <f>13/19</f>
        <v>0.68421052631578949</v>
      </c>
      <c r="I54" s="8">
        <f>2/19</f>
        <v>0.10526315789473684</v>
      </c>
      <c r="J54" s="7">
        <v>21.8</v>
      </c>
      <c r="K54" s="7">
        <v>0.32</v>
      </c>
      <c r="L54" s="8">
        <v>0.01</v>
      </c>
      <c r="M54" s="12">
        <v>1</v>
      </c>
      <c r="N54" s="6">
        <v>7</v>
      </c>
      <c r="O54" s="6">
        <v>5</v>
      </c>
      <c r="P54" s="6">
        <v>3</v>
      </c>
      <c r="Q54" s="6">
        <v>6</v>
      </c>
      <c r="R54" s="6">
        <v>10</v>
      </c>
      <c r="S54" s="7">
        <v>2</v>
      </c>
      <c r="T54" s="6">
        <v>1</v>
      </c>
      <c r="U54" s="7">
        <v>0</v>
      </c>
      <c r="V54" s="6">
        <v>1</v>
      </c>
    </row>
    <row r="55" spans="1:22" ht="15.75">
      <c r="A55" s="10" t="s">
        <v>388</v>
      </c>
      <c r="B55" s="6" t="s">
        <v>7</v>
      </c>
      <c r="C55" s="7">
        <v>4</v>
      </c>
      <c r="D55" s="6">
        <v>2</v>
      </c>
      <c r="E55" s="7">
        <v>3</v>
      </c>
      <c r="F55" s="7">
        <v>4</v>
      </c>
      <c r="G55" s="8">
        <f>18/28</f>
        <v>0.6428571428571429</v>
      </c>
      <c r="H55" s="8">
        <f>10/28</f>
        <v>0.35714285714285715</v>
      </c>
      <c r="I55" s="8">
        <v>0</v>
      </c>
      <c r="J55" s="7">
        <v>21.69</v>
      </c>
      <c r="K55" s="7">
        <v>0.25</v>
      </c>
      <c r="L55" s="8">
        <v>0.3</v>
      </c>
      <c r="M55" s="12">
        <v>2</v>
      </c>
      <c r="N55" s="6">
        <v>4</v>
      </c>
      <c r="O55" s="6">
        <v>5</v>
      </c>
      <c r="P55" s="6">
        <v>4</v>
      </c>
      <c r="Q55" s="6">
        <v>5</v>
      </c>
      <c r="R55" s="6">
        <v>4</v>
      </c>
      <c r="S55" s="7">
        <v>2</v>
      </c>
      <c r="T55" s="6" t="s">
        <v>39</v>
      </c>
      <c r="U55" s="7">
        <v>0</v>
      </c>
      <c r="V55" s="6">
        <v>1</v>
      </c>
    </row>
    <row r="56" spans="1:22" ht="15.75">
      <c r="A56" s="18" t="s">
        <v>80</v>
      </c>
      <c r="B56" s="6" t="s">
        <v>7</v>
      </c>
      <c r="C56" s="7">
        <v>4</v>
      </c>
      <c r="D56" s="6">
        <v>2</v>
      </c>
      <c r="E56" s="7">
        <v>3</v>
      </c>
      <c r="F56" s="7">
        <v>7</v>
      </c>
      <c r="G56" s="8" t="s">
        <v>2</v>
      </c>
      <c r="H56" s="8" t="s">
        <v>2</v>
      </c>
      <c r="I56" s="8" t="s">
        <v>2</v>
      </c>
      <c r="J56" s="7">
        <v>27.38</v>
      </c>
      <c r="K56" s="7">
        <v>0.17</v>
      </c>
      <c r="L56" s="8">
        <v>0.13</v>
      </c>
      <c r="M56" s="12">
        <v>1</v>
      </c>
      <c r="N56" s="6">
        <v>6</v>
      </c>
      <c r="O56" s="6">
        <v>3</v>
      </c>
      <c r="P56" s="6">
        <v>2</v>
      </c>
      <c r="Q56" s="6">
        <v>8</v>
      </c>
      <c r="R56" s="6">
        <v>5</v>
      </c>
      <c r="S56" s="7">
        <v>2</v>
      </c>
      <c r="T56" s="6" t="s">
        <v>39</v>
      </c>
      <c r="U56" s="7">
        <v>0</v>
      </c>
      <c r="V56" s="6">
        <v>1</v>
      </c>
    </row>
    <row r="57" spans="1:22" ht="15.75">
      <c r="A57" s="11" t="s">
        <v>387</v>
      </c>
      <c r="B57" s="6" t="s">
        <v>7</v>
      </c>
      <c r="C57" s="7">
        <v>4</v>
      </c>
      <c r="D57" s="6">
        <v>2</v>
      </c>
      <c r="E57" s="7">
        <v>3</v>
      </c>
      <c r="F57" s="7">
        <v>7</v>
      </c>
      <c r="G57" s="19" t="s">
        <v>2</v>
      </c>
      <c r="H57" s="19" t="s">
        <v>2</v>
      </c>
      <c r="I57" s="19" t="s">
        <v>2</v>
      </c>
      <c r="J57" s="7" t="s">
        <v>2</v>
      </c>
      <c r="K57" s="7" t="s">
        <v>2</v>
      </c>
      <c r="L57" s="8">
        <v>0.14000000000000001</v>
      </c>
      <c r="M57" s="12" t="s">
        <v>2</v>
      </c>
      <c r="N57" s="6">
        <v>4</v>
      </c>
      <c r="O57" s="6">
        <v>3</v>
      </c>
      <c r="P57" s="6">
        <v>3</v>
      </c>
      <c r="Q57" s="6">
        <v>8</v>
      </c>
      <c r="R57" s="6">
        <v>5</v>
      </c>
      <c r="S57" s="7">
        <v>2</v>
      </c>
      <c r="T57" s="20" t="s">
        <v>2</v>
      </c>
      <c r="U57" s="7">
        <v>0</v>
      </c>
      <c r="V57" s="20" t="s">
        <v>2</v>
      </c>
    </row>
    <row r="58" spans="1:22" ht="15.75">
      <c r="A58" s="11" t="s">
        <v>81</v>
      </c>
      <c r="B58" s="6" t="s">
        <v>7</v>
      </c>
      <c r="C58" s="7">
        <v>1</v>
      </c>
      <c r="D58" s="6">
        <v>1</v>
      </c>
      <c r="E58" s="7">
        <v>1</v>
      </c>
      <c r="F58" s="7">
        <v>3</v>
      </c>
      <c r="G58" s="8">
        <f>8/14</f>
        <v>0.5714285714285714</v>
      </c>
      <c r="H58" s="8">
        <f>5/14</f>
        <v>0.35714285714285715</v>
      </c>
      <c r="I58" s="8">
        <f>1/14</f>
        <v>7.1428571428571425E-2</v>
      </c>
      <c r="J58" s="7">
        <v>21.86</v>
      </c>
      <c r="K58" s="7">
        <v>0.35</v>
      </c>
      <c r="L58" s="8">
        <v>0.05</v>
      </c>
      <c r="M58" s="12">
        <v>1</v>
      </c>
      <c r="N58" s="6">
        <v>3</v>
      </c>
      <c r="O58" s="6">
        <v>3</v>
      </c>
      <c r="P58" s="6">
        <v>7</v>
      </c>
      <c r="Q58" s="6">
        <v>4</v>
      </c>
      <c r="R58" s="6">
        <v>5</v>
      </c>
      <c r="S58" s="7">
        <v>2</v>
      </c>
      <c r="T58" s="6">
        <v>0</v>
      </c>
      <c r="U58" s="7">
        <v>0</v>
      </c>
      <c r="V58" s="6">
        <v>1</v>
      </c>
    </row>
    <row r="59" spans="1:22" ht="15.75">
      <c r="A59" s="22" t="s">
        <v>386</v>
      </c>
      <c r="B59" s="6" t="s">
        <v>33</v>
      </c>
      <c r="C59" s="7">
        <v>1</v>
      </c>
      <c r="D59" s="6">
        <v>2</v>
      </c>
      <c r="E59" s="7">
        <v>1</v>
      </c>
      <c r="F59" s="7">
        <v>3</v>
      </c>
      <c r="G59" s="8">
        <f>2/14</f>
        <v>0.14285714285714285</v>
      </c>
      <c r="H59" s="8">
        <f>10/14</f>
        <v>0.7142857142857143</v>
      </c>
      <c r="I59" s="8">
        <f>2/14</f>
        <v>0.14285714285714285</v>
      </c>
      <c r="J59" s="7">
        <v>28.5</v>
      </c>
      <c r="K59" s="7">
        <v>0.25</v>
      </c>
      <c r="L59" s="8">
        <v>7.0000000000000007E-2</v>
      </c>
      <c r="M59" s="12">
        <v>2</v>
      </c>
      <c r="N59" s="6">
        <v>6</v>
      </c>
      <c r="O59" s="6">
        <v>5</v>
      </c>
      <c r="P59" s="6">
        <v>5</v>
      </c>
      <c r="Q59" s="6">
        <v>6</v>
      </c>
      <c r="R59" s="6">
        <v>4</v>
      </c>
      <c r="S59" s="7">
        <v>2</v>
      </c>
      <c r="T59" s="6" t="s">
        <v>2</v>
      </c>
      <c r="U59" s="7">
        <v>0</v>
      </c>
      <c r="V59" s="6" t="s">
        <v>2</v>
      </c>
    </row>
    <row r="60" spans="1:22" ht="15.75">
      <c r="A60" s="14" t="s">
        <v>391</v>
      </c>
      <c r="B60" s="15" t="s">
        <v>25</v>
      </c>
      <c r="C60" s="7">
        <v>1</v>
      </c>
      <c r="D60" s="6">
        <v>2</v>
      </c>
      <c r="E60" s="7">
        <v>1</v>
      </c>
      <c r="F60" s="15">
        <v>3</v>
      </c>
      <c r="G60" s="16">
        <f>14/50</f>
        <v>0.28000000000000003</v>
      </c>
      <c r="H60" s="16">
        <f>23/50</f>
        <v>0.46</v>
      </c>
      <c r="I60" s="16">
        <f>13/50</f>
        <v>0.26</v>
      </c>
      <c r="J60" s="7">
        <v>41</v>
      </c>
      <c r="K60" s="7">
        <v>0.35</v>
      </c>
      <c r="L60" s="8">
        <v>0.04</v>
      </c>
      <c r="M60" s="12">
        <v>1</v>
      </c>
      <c r="N60" s="15">
        <v>5</v>
      </c>
      <c r="O60" s="6">
        <v>5</v>
      </c>
      <c r="P60" s="15">
        <v>3</v>
      </c>
      <c r="Q60" s="6">
        <v>6</v>
      </c>
      <c r="R60" s="15">
        <v>5</v>
      </c>
      <c r="S60" s="7">
        <v>2</v>
      </c>
      <c r="T60" s="15" t="s">
        <v>2</v>
      </c>
      <c r="U60" s="7">
        <v>0</v>
      </c>
      <c r="V60" s="15" t="s">
        <v>2</v>
      </c>
    </row>
    <row r="61" spans="1:22" ht="15.75">
      <c r="A61" s="11" t="s">
        <v>82</v>
      </c>
      <c r="B61" s="6" t="s">
        <v>50</v>
      </c>
      <c r="C61" s="7">
        <v>1</v>
      </c>
      <c r="D61" s="6">
        <v>2</v>
      </c>
      <c r="E61" s="7">
        <v>1</v>
      </c>
      <c r="F61" s="7">
        <v>4</v>
      </c>
      <c r="G61" s="8">
        <f>42/252</f>
        <v>0.16666666666666666</v>
      </c>
      <c r="H61" s="8">
        <f>119/252</f>
        <v>0.47222222222222221</v>
      </c>
      <c r="I61" s="8">
        <f>91/252</f>
        <v>0.3611111111111111</v>
      </c>
      <c r="J61" s="7">
        <v>22.21</v>
      </c>
      <c r="K61" s="7">
        <v>1.2</v>
      </c>
      <c r="L61" s="8">
        <v>1.17</v>
      </c>
      <c r="M61" s="12">
        <v>2</v>
      </c>
      <c r="N61" s="6">
        <v>7</v>
      </c>
      <c r="O61" s="6" t="s">
        <v>83</v>
      </c>
      <c r="P61" s="6">
        <v>4</v>
      </c>
      <c r="Q61" s="6" t="s">
        <v>84</v>
      </c>
      <c r="R61" s="6">
        <v>7</v>
      </c>
      <c r="S61" s="7">
        <v>2</v>
      </c>
      <c r="T61" s="6" t="s">
        <v>39</v>
      </c>
      <c r="U61" s="7">
        <v>0</v>
      </c>
      <c r="V61" s="6">
        <v>1</v>
      </c>
    </row>
    <row r="62" spans="1:22" ht="15.75">
      <c r="A62" s="21" t="s">
        <v>85</v>
      </c>
      <c r="B62" s="6" t="s">
        <v>50</v>
      </c>
      <c r="C62" s="7">
        <v>1</v>
      </c>
      <c r="D62" s="6">
        <v>2</v>
      </c>
      <c r="E62" s="7">
        <v>1</v>
      </c>
      <c r="F62" s="7">
        <v>4</v>
      </c>
      <c r="G62" s="8">
        <f>2/11</f>
        <v>0.18181818181818182</v>
      </c>
      <c r="H62" s="8">
        <v>0</v>
      </c>
      <c r="I62" s="8">
        <f>9/11</f>
        <v>0.81818181818181823</v>
      </c>
      <c r="J62" s="7">
        <v>35.61</v>
      </c>
      <c r="K62" s="7">
        <v>0.74</v>
      </c>
      <c r="L62" s="8">
        <v>1.4</v>
      </c>
      <c r="M62" s="12">
        <v>3</v>
      </c>
      <c r="N62" s="6">
        <v>6</v>
      </c>
      <c r="O62" s="6">
        <v>7</v>
      </c>
      <c r="P62" s="6">
        <v>4</v>
      </c>
      <c r="Q62" s="6">
        <v>3</v>
      </c>
      <c r="R62" s="6">
        <v>8</v>
      </c>
      <c r="S62" s="7">
        <v>2</v>
      </c>
      <c r="T62" s="6">
        <v>0</v>
      </c>
      <c r="U62" s="7">
        <v>0</v>
      </c>
      <c r="V62" s="6">
        <v>1</v>
      </c>
    </row>
    <row r="63" spans="1:22" ht="15.75">
      <c r="A63" s="10" t="s">
        <v>392</v>
      </c>
      <c r="B63" s="6" t="s">
        <v>50</v>
      </c>
      <c r="C63" s="7">
        <v>1</v>
      </c>
      <c r="D63" s="6">
        <v>2</v>
      </c>
      <c r="E63" s="7">
        <v>1</v>
      </c>
      <c r="F63" s="7">
        <v>4</v>
      </c>
      <c r="G63" s="8">
        <f>14/59</f>
        <v>0.23728813559322035</v>
      </c>
      <c r="H63" s="8">
        <f>22/59</f>
        <v>0.3728813559322034</v>
      </c>
      <c r="I63" s="8">
        <f>23/59</f>
        <v>0.38983050847457629</v>
      </c>
      <c r="J63" s="7">
        <v>35.24</v>
      </c>
      <c r="K63" s="7">
        <v>0.8</v>
      </c>
      <c r="L63" s="8">
        <v>0.3</v>
      </c>
      <c r="M63" s="12">
        <v>2</v>
      </c>
      <c r="N63" s="6">
        <v>7</v>
      </c>
      <c r="O63" s="6">
        <v>7</v>
      </c>
      <c r="P63" s="6">
        <v>3</v>
      </c>
      <c r="Q63" s="6">
        <v>4</v>
      </c>
      <c r="R63" s="6">
        <v>8</v>
      </c>
      <c r="S63" s="7">
        <v>2</v>
      </c>
      <c r="T63" s="6" t="s">
        <v>18</v>
      </c>
      <c r="U63" s="7">
        <v>0</v>
      </c>
      <c r="V63" s="6">
        <v>1</v>
      </c>
    </row>
    <row r="64" spans="1:22" ht="15.75">
      <c r="A64" s="11" t="s">
        <v>86</v>
      </c>
      <c r="B64" s="6" t="s">
        <v>50</v>
      </c>
      <c r="C64" s="7">
        <v>1</v>
      </c>
      <c r="D64" s="6">
        <v>2</v>
      </c>
      <c r="E64" s="7">
        <v>1</v>
      </c>
      <c r="F64" s="7">
        <v>3</v>
      </c>
      <c r="G64" s="8" t="s">
        <v>2</v>
      </c>
      <c r="H64" s="8" t="s">
        <v>2</v>
      </c>
      <c r="I64" s="8" t="s">
        <v>2</v>
      </c>
      <c r="J64" s="7" t="s">
        <v>2</v>
      </c>
      <c r="K64" s="7">
        <v>0.53</v>
      </c>
      <c r="L64" s="8">
        <v>0.46</v>
      </c>
      <c r="M64" s="12">
        <v>2</v>
      </c>
      <c r="N64" s="6">
        <v>6</v>
      </c>
      <c r="O64" s="6">
        <v>5</v>
      </c>
      <c r="P64" s="6">
        <v>4</v>
      </c>
      <c r="Q64" s="6">
        <v>6</v>
      </c>
      <c r="R64" s="6">
        <v>9</v>
      </c>
      <c r="S64" s="7">
        <v>2</v>
      </c>
      <c r="T64" s="6" t="s">
        <v>18</v>
      </c>
      <c r="U64" s="7">
        <v>0</v>
      </c>
      <c r="V64" s="6">
        <v>1</v>
      </c>
    </row>
    <row r="65" spans="1:22" ht="15.75">
      <c r="A65" s="11" t="s">
        <v>87</v>
      </c>
      <c r="B65" s="6" t="s">
        <v>25</v>
      </c>
      <c r="C65" s="7">
        <v>2</v>
      </c>
      <c r="D65" s="6">
        <v>1</v>
      </c>
      <c r="E65" s="7">
        <v>5</v>
      </c>
      <c r="F65" s="7">
        <v>5</v>
      </c>
      <c r="G65" s="8">
        <v>1</v>
      </c>
      <c r="H65" s="8">
        <v>0</v>
      </c>
      <c r="I65" s="8">
        <v>0</v>
      </c>
      <c r="J65" s="7">
        <v>7.62</v>
      </c>
      <c r="K65" s="7">
        <v>0.75</v>
      </c>
      <c r="L65" s="8">
        <v>0.67</v>
      </c>
      <c r="M65" s="12" t="s">
        <v>2</v>
      </c>
      <c r="N65" s="6">
        <v>7</v>
      </c>
      <c r="O65" s="6">
        <v>7</v>
      </c>
      <c r="P65" s="6">
        <v>3</v>
      </c>
      <c r="Q65" s="6">
        <v>3</v>
      </c>
      <c r="R65" s="6">
        <v>10</v>
      </c>
      <c r="S65" s="7">
        <v>2</v>
      </c>
      <c r="T65" s="6">
        <v>1</v>
      </c>
      <c r="U65" s="7">
        <v>0</v>
      </c>
      <c r="V65" s="6">
        <v>1</v>
      </c>
    </row>
    <row r="66" spans="1:22" ht="15.75">
      <c r="A66" s="11" t="s">
        <v>88</v>
      </c>
      <c r="B66" s="6" t="s">
        <v>25</v>
      </c>
      <c r="C66" s="7">
        <v>1</v>
      </c>
      <c r="D66" s="6">
        <v>1</v>
      </c>
      <c r="E66" s="7">
        <v>1</v>
      </c>
      <c r="F66" s="7">
        <v>4</v>
      </c>
      <c r="G66" s="19">
        <f>1/12</f>
        <v>8.3333333333333329E-2</v>
      </c>
      <c r="H66" s="19">
        <f>2/12</f>
        <v>0.16666666666666666</v>
      </c>
      <c r="I66" s="19">
        <f>9/12</f>
        <v>0.75</v>
      </c>
      <c r="J66" s="7">
        <v>28</v>
      </c>
      <c r="K66" s="7">
        <v>0.55000000000000004</v>
      </c>
      <c r="L66" s="8">
        <v>1.65</v>
      </c>
      <c r="M66" s="12">
        <v>1</v>
      </c>
      <c r="N66" s="6">
        <v>4</v>
      </c>
      <c r="O66" s="6">
        <v>5</v>
      </c>
      <c r="P66" s="6">
        <v>2</v>
      </c>
      <c r="Q66" s="6">
        <v>4</v>
      </c>
      <c r="R66" s="6">
        <v>5</v>
      </c>
      <c r="S66" s="7">
        <v>2</v>
      </c>
      <c r="T66" s="20" t="s">
        <v>2</v>
      </c>
      <c r="U66" s="7">
        <v>0</v>
      </c>
      <c r="V66" s="20" t="s">
        <v>2</v>
      </c>
    </row>
    <row r="67" spans="1:22" ht="15.75">
      <c r="A67" s="11" t="s">
        <v>89</v>
      </c>
      <c r="B67" s="6" t="s">
        <v>25</v>
      </c>
      <c r="C67" s="7">
        <v>3</v>
      </c>
      <c r="D67" s="6">
        <v>2</v>
      </c>
      <c r="E67" s="7">
        <v>5.6</v>
      </c>
      <c r="F67" s="7">
        <v>1</v>
      </c>
      <c r="G67" s="23">
        <f>213/267</f>
        <v>0.797752808988764</v>
      </c>
      <c r="H67" s="23">
        <f>32/267</f>
        <v>0.1198501872659176</v>
      </c>
      <c r="I67" s="23">
        <f>22/267</f>
        <v>8.2397003745318345E-2</v>
      </c>
      <c r="J67" s="7">
        <v>15.71</v>
      </c>
      <c r="K67" s="7">
        <v>1.3</v>
      </c>
      <c r="L67" s="8">
        <v>1.27</v>
      </c>
      <c r="M67" s="12">
        <v>1</v>
      </c>
      <c r="N67" s="6">
        <v>7</v>
      </c>
      <c r="O67" s="6">
        <v>7</v>
      </c>
      <c r="P67" s="6">
        <v>3</v>
      </c>
      <c r="Q67" s="6">
        <v>3</v>
      </c>
      <c r="R67" s="6">
        <v>7</v>
      </c>
      <c r="S67" s="7">
        <v>2</v>
      </c>
      <c r="T67" s="6">
        <v>1</v>
      </c>
      <c r="U67" s="7">
        <v>0</v>
      </c>
      <c r="V67" s="6">
        <v>1</v>
      </c>
    </row>
    <row r="68" spans="1:22" ht="15.75">
      <c r="A68" s="11" t="s">
        <v>90</v>
      </c>
      <c r="B68" s="6" t="s">
        <v>25</v>
      </c>
      <c r="C68" s="7">
        <v>2</v>
      </c>
      <c r="D68" s="6">
        <v>1</v>
      </c>
      <c r="E68" s="7">
        <v>2</v>
      </c>
      <c r="F68" s="7">
        <v>4</v>
      </c>
      <c r="G68" s="8">
        <f>85/108</f>
        <v>0.78703703703703709</v>
      </c>
      <c r="H68" s="8">
        <f>20/108</f>
        <v>0.18518518518518517</v>
      </c>
      <c r="I68" s="8">
        <f>3/108</f>
        <v>2.7777777777777776E-2</v>
      </c>
      <c r="J68" s="7">
        <v>15.59</v>
      </c>
      <c r="K68" s="7">
        <v>1.2</v>
      </c>
      <c r="L68" s="8">
        <v>2.52</v>
      </c>
      <c r="M68" s="12">
        <v>1</v>
      </c>
      <c r="N68" s="6">
        <v>6</v>
      </c>
      <c r="O68" s="6">
        <v>6</v>
      </c>
      <c r="P68" s="6">
        <v>4</v>
      </c>
      <c r="Q68" s="6">
        <v>4</v>
      </c>
      <c r="R68" s="6">
        <v>8</v>
      </c>
      <c r="S68" s="7">
        <v>2</v>
      </c>
      <c r="T68" s="6" t="s">
        <v>10</v>
      </c>
      <c r="U68" s="7">
        <v>0</v>
      </c>
      <c r="V68" s="6">
        <v>1</v>
      </c>
    </row>
    <row r="69" spans="1:22" ht="15.75">
      <c r="A69" s="11" t="s">
        <v>385</v>
      </c>
      <c r="B69" s="6" t="s">
        <v>25</v>
      </c>
      <c r="C69" s="7">
        <v>1</v>
      </c>
      <c r="D69" s="6">
        <v>1</v>
      </c>
      <c r="E69" s="7">
        <v>1</v>
      </c>
      <c r="F69" s="7">
        <v>4</v>
      </c>
      <c r="G69" s="8">
        <v>0.5</v>
      </c>
      <c r="H69" s="8">
        <v>0</v>
      </c>
      <c r="I69" s="8">
        <v>0.5</v>
      </c>
      <c r="J69" s="7">
        <v>31.55</v>
      </c>
      <c r="K69" s="7">
        <v>0.56999999999999995</v>
      </c>
      <c r="L69" s="8">
        <v>29.9</v>
      </c>
      <c r="M69" s="12" t="s">
        <v>2</v>
      </c>
      <c r="N69" s="6">
        <v>6</v>
      </c>
      <c r="O69" s="6">
        <v>4</v>
      </c>
      <c r="P69" s="6">
        <v>3</v>
      </c>
      <c r="Q69" s="6">
        <v>3</v>
      </c>
      <c r="R69" s="6">
        <v>5</v>
      </c>
      <c r="S69" s="7">
        <v>2</v>
      </c>
      <c r="T69" s="6" t="s">
        <v>10</v>
      </c>
      <c r="U69" s="7">
        <v>0</v>
      </c>
      <c r="V69" s="6">
        <v>1</v>
      </c>
    </row>
    <row r="70" spans="1:22" ht="16.5" customHeight="1">
      <c r="A70" s="11" t="s">
        <v>91</v>
      </c>
      <c r="B70" s="6" t="s">
        <v>4</v>
      </c>
      <c r="C70" s="7">
        <v>1</v>
      </c>
      <c r="D70" s="6">
        <v>1</v>
      </c>
      <c r="E70" s="7">
        <v>1</v>
      </c>
      <c r="F70" s="7">
        <v>3</v>
      </c>
      <c r="G70" s="8" t="s">
        <v>2</v>
      </c>
      <c r="H70" s="8" t="s">
        <v>2</v>
      </c>
      <c r="I70" s="8" t="s">
        <v>2</v>
      </c>
      <c r="J70" s="7">
        <v>24.22</v>
      </c>
      <c r="K70" s="7">
        <v>0.3</v>
      </c>
      <c r="L70" s="8">
        <v>1.1000000000000001</v>
      </c>
      <c r="M70" s="12" t="s">
        <v>2</v>
      </c>
      <c r="N70" s="6">
        <v>5</v>
      </c>
      <c r="O70" s="6" t="s">
        <v>2</v>
      </c>
      <c r="P70" s="6">
        <v>4</v>
      </c>
      <c r="Q70" s="6" t="s">
        <v>2</v>
      </c>
      <c r="R70" s="6">
        <v>3</v>
      </c>
      <c r="S70" s="7">
        <v>2</v>
      </c>
      <c r="T70" s="6" t="s">
        <v>10</v>
      </c>
      <c r="U70" s="7">
        <v>0</v>
      </c>
      <c r="V70" s="6">
        <v>1</v>
      </c>
    </row>
    <row r="71" spans="1:22" ht="15.75">
      <c r="A71" s="11" t="s">
        <v>92</v>
      </c>
      <c r="B71" s="6" t="s">
        <v>73</v>
      </c>
      <c r="C71" s="7">
        <v>2</v>
      </c>
      <c r="D71" s="6">
        <v>2</v>
      </c>
      <c r="E71" s="7">
        <v>5</v>
      </c>
      <c r="F71" s="7">
        <v>4</v>
      </c>
      <c r="G71" s="8">
        <f>108/122</f>
        <v>0.88524590163934425</v>
      </c>
      <c r="H71" s="8">
        <f>5/122</f>
        <v>4.0983606557377046E-2</v>
      </c>
      <c r="I71" s="8">
        <f>9/122</f>
        <v>7.3770491803278687E-2</v>
      </c>
      <c r="J71" s="7">
        <v>28.3</v>
      </c>
      <c r="K71" s="7">
        <v>0.55000000000000004</v>
      </c>
      <c r="L71" s="8">
        <v>10.199999999999999</v>
      </c>
      <c r="M71" s="12">
        <v>1</v>
      </c>
      <c r="N71" s="6">
        <v>6</v>
      </c>
      <c r="O71" s="6">
        <v>4</v>
      </c>
      <c r="P71" s="6">
        <v>4</v>
      </c>
      <c r="Q71" s="6">
        <v>7</v>
      </c>
      <c r="R71" s="6">
        <v>5</v>
      </c>
      <c r="S71" s="7">
        <v>2</v>
      </c>
      <c r="T71" s="6">
        <v>1</v>
      </c>
      <c r="U71" s="7">
        <v>0</v>
      </c>
      <c r="V71" s="6">
        <v>1</v>
      </c>
    </row>
    <row r="72" spans="1:22" ht="15.75">
      <c r="A72" s="11" t="s">
        <v>93</v>
      </c>
      <c r="B72" s="6" t="s">
        <v>25</v>
      </c>
      <c r="C72" s="7">
        <v>1</v>
      </c>
      <c r="D72" s="6">
        <v>1</v>
      </c>
      <c r="E72" s="7">
        <v>1</v>
      </c>
      <c r="F72" s="7">
        <v>4</v>
      </c>
      <c r="G72" s="8">
        <f>57/113</f>
        <v>0.50442477876106195</v>
      </c>
      <c r="H72" s="8">
        <f>43/113</f>
        <v>0.38053097345132741</v>
      </c>
      <c r="I72" s="8">
        <f>13/113</f>
        <v>0.11504424778761062</v>
      </c>
      <c r="J72" s="7">
        <v>22.4</v>
      </c>
      <c r="K72" s="7">
        <v>0.9</v>
      </c>
      <c r="L72" s="8">
        <v>0.06</v>
      </c>
      <c r="M72" s="12">
        <v>1</v>
      </c>
      <c r="N72" s="6">
        <v>7</v>
      </c>
      <c r="O72" s="6">
        <v>7</v>
      </c>
      <c r="P72" s="6">
        <v>4</v>
      </c>
      <c r="Q72" s="6">
        <v>5</v>
      </c>
      <c r="R72" s="6">
        <v>7</v>
      </c>
      <c r="S72" s="7">
        <v>2</v>
      </c>
      <c r="T72" s="6" t="s">
        <v>10</v>
      </c>
      <c r="U72" s="7">
        <v>0</v>
      </c>
      <c r="V72" s="6">
        <v>1</v>
      </c>
    </row>
    <row r="73" spans="1:22" ht="15.75">
      <c r="A73" s="11" t="s">
        <v>94</v>
      </c>
      <c r="B73" s="6" t="s">
        <v>25</v>
      </c>
      <c r="C73" s="7">
        <v>1</v>
      </c>
      <c r="D73" s="6">
        <v>2</v>
      </c>
      <c r="E73" s="7">
        <v>1</v>
      </c>
      <c r="F73" s="7">
        <v>4</v>
      </c>
      <c r="G73" s="8" t="s">
        <v>2</v>
      </c>
      <c r="H73" s="8" t="s">
        <v>2</v>
      </c>
      <c r="I73" s="8" t="s">
        <v>2</v>
      </c>
      <c r="J73" s="7" t="s">
        <v>2</v>
      </c>
      <c r="K73" s="7">
        <v>2.5</v>
      </c>
      <c r="L73" s="8">
        <v>0.04</v>
      </c>
      <c r="M73" s="12" t="s">
        <v>2</v>
      </c>
      <c r="N73" s="6">
        <v>6</v>
      </c>
      <c r="O73" s="6">
        <v>7</v>
      </c>
      <c r="P73" s="6">
        <v>5</v>
      </c>
      <c r="Q73" s="6">
        <v>5</v>
      </c>
      <c r="R73" s="7">
        <v>7</v>
      </c>
      <c r="S73" s="7">
        <v>2</v>
      </c>
      <c r="T73" s="6" t="s">
        <v>2</v>
      </c>
      <c r="U73" s="7">
        <v>0</v>
      </c>
      <c r="V73" s="6" t="s">
        <v>2</v>
      </c>
    </row>
    <row r="74" spans="1:22" ht="15.75">
      <c r="A74" s="11" t="s">
        <v>95</v>
      </c>
      <c r="B74" s="6" t="s">
        <v>38</v>
      </c>
      <c r="C74" s="7">
        <v>2</v>
      </c>
      <c r="D74" s="6">
        <v>1</v>
      </c>
      <c r="E74" s="7">
        <v>1</v>
      </c>
      <c r="F74" s="7">
        <v>3</v>
      </c>
      <c r="G74" s="8">
        <v>0</v>
      </c>
      <c r="H74" s="8">
        <v>0</v>
      </c>
      <c r="I74" s="8">
        <v>1</v>
      </c>
      <c r="J74" s="7">
        <v>35.159999999999997</v>
      </c>
      <c r="K74" s="7">
        <v>0.3</v>
      </c>
      <c r="L74" s="8">
        <v>0.5</v>
      </c>
      <c r="M74" s="12">
        <v>1</v>
      </c>
      <c r="N74" s="6">
        <v>6</v>
      </c>
      <c r="O74" s="6">
        <v>3</v>
      </c>
      <c r="P74" s="6">
        <v>3</v>
      </c>
      <c r="Q74" s="6">
        <v>5</v>
      </c>
      <c r="R74" s="6">
        <v>2</v>
      </c>
      <c r="S74" s="7">
        <v>2</v>
      </c>
      <c r="T74" s="6" t="s">
        <v>18</v>
      </c>
      <c r="U74" s="7">
        <v>0</v>
      </c>
      <c r="V74" s="6">
        <v>1</v>
      </c>
    </row>
    <row r="75" spans="1:22" ht="15.75">
      <c r="A75" s="11" t="s">
        <v>393</v>
      </c>
      <c r="B75" s="6" t="s">
        <v>38</v>
      </c>
      <c r="C75" s="7">
        <v>1</v>
      </c>
      <c r="D75" s="6">
        <v>1</v>
      </c>
      <c r="E75" s="7">
        <v>1</v>
      </c>
      <c r="F75" s="7">
        <v>6</v>
      </c>
      <c r="G75" s="8">
        <v>0</v>
      </c>
      <c r="H75" s="8">
        <v>0</v>
      </c>
      <c r="I75" s="8">
        <v>1</v>
      </c>
      <c r="J75" s="7">
        <v>23.14</v>
      </c>
      <c r="K75" s="7">
        <v>0.23</v>
      </c>
      <c r="L75" s="8">
        <v>3.2</v>
      </c>
      <c r="M75" s="12">
        <v>2</v>
      </c>
      <c r="N75" s="6">
        <v>5</v>
      </c>
      <c r="O75" s="6">
        <v>3</v>
      </c>
      <c r="P75" s="6">
        <v>4</v>
      </c>
      <c r="Q75" s="6">
        <v>5</v>
      </c>
      <c r="R75" s="6">
        <v>2</v>
      </c>
      <c r="S75" s="7">
        <v>2</v>
      </c>
      <c r="T75" s="6" t="s">
        <v>18</v>
      </c>
      <c r="U75" s="7">
        <v>0</v>
      </c>
      <c r="V75" s="6">
        <v>1</v>
      </c>
    </row>
    <row r="76" spans="1:22" ht="15.75">
      <c r="A76" s="11" t="s">
        <v>96</v>
      </c>
      <c r="B76" s="6" t="s">
        <v>25</v>
      </c>
      <c r="C76" s="7">
        <v>1</v>
      </c>
      <c r="D76" s="13">
        <v>1</v>
      </c>
      <c r="E76" s="7">
        <v>1</v>
      </c>
      <c r="F76" s="7">
        <v>4</v>
      </c>
      <c r="G76" s="8">
        <v>0</v>
      </c>
      <c r="H76" s="8">
        <v>1</v>
      </c>
      <c r="I76" s="8">
        <v>0</v>
      </c>
      <c r="J76" s="7" t="s">
        <v>2</v>
      </c>
      <c r="K76" s="7">
        <v>0.2</v>
      </c>
      <c r="L76" s="8">
        <v>0.8</v>
      </c>
      <c r="M76" s="12" t="s">
        <v>2</v>
      </c>
      <c r="N76" s="6">
        <v>6</v>
      </c>
      <c r="O76" s="6">
        <v>5</v>
      </c>
      <c r="P76" s="6">
        <v>3</v>
      </c>
      <c r="Q76" s="6">
        <v>5</v>
      </c>
      <c r="R76" s="6">
        <v>2</v>
      </c>
      <c r="S76" s="7">
        <v>2</v>
      </c>
      <c r="T76" s="6" t="s">
        <v>10</v>
      </c>
      <c r="U76" s="7">
        <v>0</v>
      </c>
      <c r="V76" s="6">
        <v>1</v>
      </c>
    </row>
    <row r="77" spans="1:22" ht="15.75">
      <c r="A77" s="11" t="s">
        <v>97</v>
      </c>
      <c r="B77" s="6" t="s">
        <v>14</v>
      </c>
      <c r="C77" s="7">
        <v>2</v>
      </c>
      <c r="D77" s="13">
        <v>3</v>
      </c>
      <c r="E77" s="7">
        <v>7</v>
      </c>
      <c r="F77" s="7">
        <v>5</v>
      </c>
      <c r="G77" s="8">
        <v>0.5</v>
      </c>
      <c r="H77" s="8">
        <v>0.5</v>
      </c>
      <c r="I77" s="8">
        <v>0</v>
      </c>
      <c r="J77" s="7">
        <v>30.74</v>
      </c>
      <c r="K77" s="7">
        <v>0.15</v>
      </c>
      <c r="L77" s="8">
        <v>0.3</v>
      </c>
      <c r="M77" s="12" t="s">
        <v>2</v>
      </c>
      <c r="N77" s="6">
        <v>7</v>
      </c>
      <c r="O77" s="6" t="s">
        <v>98</v>
      </c>
      <c r="P77" s="6">
        <v>3</v>
      </c>
      <c r="Q77" s="6" t="s">
        <v>99</v>
      </c>
      <c r="R77" s="6">
        <v>4</v>
      </c>
      <c r="S77" s="7">
        <v>1</v>
      </c>
      <c r="T77" s="6">
        <v>1</v>
      </c>
      <c r="U77" s="7">
        <v>0</v>
      </c>
      <c r="V77" s="6">
        <v>0</v>
      </c>
    </row>
    <row r="78" spans="1:22" ht="15.75">
      <c r="A78" s="11" t="s">
        <v>100</v>
      </c>
      <c r="B78" s="6" t="s">
        <v>101</v>
      </c>
      <c r="C78" s="7">
        <v>3</v>
      </c>
      <c r="D78" s="13">
        <v>3</v>
      </c>
      <c r="E78" s="7">
        <v>5</v>
      </c>
      <c r="F78" s="7">
        <v>1</v>
      </c>
      <c r="G78" s="8" t="s">
        <v>2</v>
      </c>
      <c r="H78" s="8" t="s">
        <v>2</v>
      </c>
      <c r="I78" s="8" t="s">
        <v>2</v>
      </c>
      <c r="J78" s="7" t="s">
        <v>2</v>
      </c>
      <c r="K78" s="7">
        <v>0.4</v>
      </c>
      <c r="L78" s="8">
        <v>0.2</v>
      </c>
      <c r="M78" s="12" t="s">
        <v>2</v>
      </c>
      <c r="N78" s="6">
        <v>6</v>
      </c>
      <c r="O78" s="6">
        <v>5</v>
      </c>
      <c r="P78" s="6">
        <v>5</v>
      </c>
      <c r="Q78" s="6">
        <v>8</v>
      </c>
      <c r="R78" s="6">
        <v>5</v>
      </c>
      <c r="S78" s="7">
        <v>1</v>
      </c>
      <c r="T78" s="6" t="s">
        <v>2</v>
      </c>
      <c r="U78" s="7">
        <v>0</v>
      </c>
      <c r="V78" s="6" t="s">
        <v>2</v>
      </c>
    </row>
    <row r="79" spans="1:22" ht="15.75">
      <c r="A79" s="10" t="s">
        <v>384</v>
      </c>
      <c r="B79" s="6" t="s">
        <v>14</v>
      </c>
      <c r="C79" s="7">
        <v>2</v>
      </c>
      <c r="D79" s="13">
        <v>3</v>
      </c>
      <c r="E79" s="7">
        <v>3</v>
      </c>
      <c r="F79" s="7">
        <v>1</v>
      </c>
      <c r="G79" s="8">
        <f>286/339</f>
        <v>0.84365781710914456</v>
      </c>
      <c r="H79" s="8">
        <f>43/339</f>
        <v>0.12684365781710916</v>
      </c>
      <c r="I79" s="8">
        <f>10/339</f>
        <v>2.9498525073746312E-2</v>
      </c>
      <c r="J79" s="7">
        <v>24.53</v>
      </c>
      <c r="K79" s="7">
        <v>1.1000000000000001</v>
      </c>
      <c r="L79" s="8">
        <v>0.69</v>
      </c>
      <c r="M79" s="12">
        <v>2</v>
      </c>
      <c r="N79" s="6">
        <v>5</v>
      </c>
      <c r="O79" s="6">
        <v>3</v>
      </c>
      <c r="P79" s="6">
        <v>3</v>
      </c>
      <c r="Q79" s="6">
        <v>8</v>
      </c>
      <c r="R79" s="6">
        <v>6</v>
      </c>
      <c r="S79" s="7">
        <v>1</v>
      </c>
      <c r="T79" s="6">
        <v>1</v>
      </c>
      <c r="U79" s="7">
        <v>0</v>
      </c>
      <c r="V79" s="6">
        <v>0</v>
      </c>
    </row>
    <row r="80" spans="1:22" ht="15.75">
      <c r="A80" s="11" t="s">
        <v>102</v>
      </c>
      <c r="B80" s="6" t="s">
        <v>103</v>
      </c>
      <c r="C80" s="7">
        <v>1</v>
      </c>
      <c r="D80" s="6">
        <v>2</v>
      </c>
      <c r="E80" s="7">
        <v>1</v>
      </c>
      <c r="F80" s="7">
        <v>4</v>
      </c>
      <c r="G80" s="8">
        <f>4/16</f>
        <v>0.25</v>
      </c>
      <c r="H80" s="8">
        <f>4/16</f>
        <v>0.25</v>
      </c>
      <c r="I80" s="8">
        <f>8/16</f>
        <v>0.5</v>
      </c>
      <c r="J80" s="7">
        <v>28.3</v>
      </c>
      <c r="K80" s="7">
        <v>1.6</v>
      </c>
      <c r="L80" s="8">
        <v>7.15</v>
      </c>
      <c r="M80" s="12">
        <v>2</v>
      </c>
      <c r="N80" s="6">
        <v>6</v>
      </c>
      <c r="O80" s="6">
        <v>7</v>
      </c>
      <c r="P80" s="6">
        <v>5</v>
      </c>
      <c r="Q80" s="6">
        <v>5</v>
      </c>
      <c r="R80" s="6">
        <v>7</v>
      </c>
      <c r="S80" s="7">
        <v>2</v>
      </c>
      <c r="T80" s="6">
        <v>1</v>
      </c>
      <c r="U80" s="7">
        <v>0</v>
      </c>
      <c r="V80" s="6">
        <v>1</v>
      </c>
    </row>
    <row r="81" spans="1:22" ht="15.75">
      <c r="A81" s="11" t="s">
        <v>104</v>
      </c>
      <c r="B81" s="6" t="s">
        <v>494</v>
      </c>
      <c r="C81" s="7">
        <v>2</v>
      </c>
      <c r="D81" s="13">
        <v>1</v>
      </c>
      <c r="E81" s="7">
        <v>3</v>
      </c>
      <c r="F81" s="7">
        <v>4</v>
      </c>
      <c r="G81" s="8">
        <f>75/109</f>
        <v>0.68807339449541283</v>
      </c>
      <c r="H81" s="8">
        <f>21/109</f>
        <v>0.19266055045871561</v>
      </c>
      <c r="I81" s="8">
        <f>13/109</f>
        <v>0.11926605504587157</v>
      </c>
      <c r="J81" s="7">
        <v>19.559999999999999</v>
      </c>
      <c r="K81" s="7">
        <v>0.9</v>
      </c>
      <c r="L81" s="8">
        <v>0.99</v>
      </c>
      <c r="M81" s="12">
        <v>1</v>
      </c>
      <c r="N81" s="6">
        <v>4</v>
      </c>
      <c r="O81" s="6">
        <v>4</v>
      </c>
      <c r="P81" s="6">
        <v>6</v>
      </c>
      <c r="Q81" s="6">
        <v>8</v>
      </c>
      <c r="R81" s="6">
        <v>4</v>
      </c>
      <c r="S81" s="7">
        <v>2</v>
      </c>
      <c r="T81" s="6">
        <v>1</v>
      </c>
      <c r="U81" s="7">
        <v>0</v>
      </c>
      <c r="V81" s="6">
        <v>1</v>
      </c>
    </row>
    <row r="82" spans="1:22" ht="15.75">
      <c r="A82" s="11" t="s">
        <v>394</v>
      </c>
      <c r="B82" s="6" t="s">
        <v>494</v>
      </c>
      <c r="C82" s="7">
        <v>2</v>
      </c>
      <c r="D82" s="13">
        <v>1</v>
      </c>
      <c r="E82" s="7">
        <v>3</v>
      </c>
      <c r="F82" s="7">
        <v>4</v>
      </c>
      <c r="G82" s="19">
        <f>75/109</f>
        <v>0.68807339449541283</v>
      </c>
      <c r="H82" s="19">
        <f>21/109</f>
        <v>0.19266055045871561</v>
      </c>
      <c r="I82" s="19">
        <f>13/109</f>
        <v>0.11926605504587157</v>
      </c>
      <c r="J82" s="7" t="s">
        <v>2</v>
      </c>
      <c r="K82" s="7">
        <v>1</v>
      </c>
      <c r="L82" s="8">
        <v>1</v>
      </c>
      <c r="M82" s="12" t="s">
        <v>2</v>
      </c>
      <c r="N82" s="6">
        <v>6</v>
      </c>
      <c r="O82" s="6">
        <v>4</v>
      </c>
      <c r="P82" s="6">
        <v>4</v>
      </c>
      <c r="Q82" s="6">
        <v>8</v>
      </c>
      <c r="R82" s="6">
        <v>4</v>
      </c>
      <c r="S82" s="7">
        <v>2</v>
      </c>
      <c r="T82" s="20" t="s">
        <v>2</v>
      </c>
      <c r="U82" s="7">
        <v>0</v>
      </c>
      <c r="V82" s="20" t="s">
        <v>2</v>
      </c>
    </row>
    <row r="83" spans="1:22" ht="15.75">
      <c r="A83" s="11" t="s">
        <v>105</v>
      </c>
      <c r="B83" s="6" t="s">
        <v>38</v>
      </c>
      <c r="C83" s="7">
        <v>1</v>
      </c>
      <c r="D83" s="13">
        <v>1</v>
      </c>
      <c r="E83" s="7">
        <v>3</v>
      </c>
      <c r="F83" s="7">
        <v>4</v>
      </c>
      <c r="G83" s="8">
        <f>1/7</f>
        <v>0.14285714285714285</v>
      </c>
      <c r="H83" s="8">
        <f>2/7</f>
        <v>0.2857142857142857</v>
      </c>
      <c r="I83" s="8">
        <f>4/7</f>
        <v>0.5714285714285714</v>
      </c>
      <c r="J83" s="7">
        <v>27.15</v>
      </c>
      <c r="K83" s="7">
        <v>0.78</v>
      </c>
      <c r="L83" s="8">
        <v>0.15</v>
      </c>
      <c r="M83" s="12">
        <v>1</v>
      </c>
      <c r="N83" s="6">
        <v>5</v>
      </c>
      <c r="O83" s="6">
        <v>4</v>
      </c>
      <c r="P83" s="6">
        <v>5</v>
      </c>
      <c r="Q83" s="6">
        <v>6</v>
      </c>
      <c r="R83" s="6">
        <v>2</v>
      </c>
      <c r="S83" s="7">
        <v>2</v>
      </c>
      <c r="T83" s="6">
        <v>0</v>
      </c>
      <c r="U83" s="7">
        <v>0</v>
      </c>
      <c r="V83" s="6">
        <v>1</v>
      </c>
    </row>
    <row r="84" spans="1:22" ht="15.75">
      <c r="A84" s="11" t="s">
        <v>106</v>
      </c>
      <c r="B84" s="6" t="s">
        <v>33</v>
      </c>
      <c r="C84" s="7">
        <v>2</v>
      </c>
      <c r="D84" s="13">
        <v>1</v>
      </c>
      <c r="E84" s="7">
        <v>5</v>
      </c>
      <c r="F84" s="7">
        <v>4</v>
      </c>
      <c r="G84" s="8">
        <f>7/34</f>
        <v>0.20588235294117646</v>
      </c>
      <c r="H84" s="8">
        <f>14/34</f>
        <v>0.41176470588235292</v>
      </c>
      <c r="I84" s="8">
        <f>13/34</f>
        <v>0.38235294117647056</v>
      </c>
      <c r="J84" s="7">
        <v>16.73</v>
      </c>
      <c r="K84" s="7">
        <v>1.2</v>
      </c>
      <c r="L84" s="8">
        <v>0.1</v>
      </c>
      <c r="M84" s="12">
        <v>1</v>
      </c>
      <c r="N84" s="6">
        <v>6</v>
      </c>
      <c r="O84" s="6">
        <v>5</v>
      </c>
      <c r="P84" s="6">
        <v>3</v>
      </c>
      <c r="Q84" s="6">
        <v>5</v>
      </c>
      <c r="R84" s="6">
        <v>5</v>
      </c>
      <c r="S84" s="7">
        <v>2</v>
      </c>
      <c r="T84" s="6">
        <v>0</v>
      </c>
      <c r="U84" s="7">
        <v>0</v>
      </c>
      <c r="V84" s="6">
        <v>1</v>
      </c>
    </row>
    <row r="85" spans="1:22" ht="15.75">
      <c r="A85" s="11" t="s">
        <v>107</v>
      </c>
      <c r="B85" s="6" t="s">
        <v>14</v>
      </c>
      <c r="C85" s="7">
        <v>1</v>
      </c>
      <c r="D85" s="13">
        <v>3</v>
      </c>
      <c r="E85" s="7">
        <v>1</v>
      </c>
      <c r="F85" s="7">
        <v>3</v>
      </c>
      <c r="G85" s="8">
        <f>1/19</f>
        <v>5.2631578947368418E-2</v>
      </c>
      <c r="H85" s="8">
        <f>15/19</f>
        <v>0.78947368421052633</v>
      </c>
      <c r="I85" s="8">
        <f>3/19</f>
        <v>0.15789473684210525</v>
      </c>
      <c r="J85" s="7">
        <v>35.25</v>
      </c>
      <c r="K85" s="7">
        <v>0.3</v>
      </c>
      <c r="L85" s="8">
        <v>1</v>
      </c>
      <c r="M85" s="12" t="s">
        <v>2</v>
      </c>
      <c r="N85" s="6">
        <v>7</v>
      </c>
      <c r="O85" s="6">
        <v>6</v>
      </c>
      <c r="P85" s="6">
        <v>4</v>
      </c>
      <c r="Q85" s="6">
        <v>5</v>
      </c>
      <c r="R85" s="6">
        <v>4</v>
      </c>
      <c r="S85" s="7">
        <v>1</v>
      </c>
      <c r="T85" s="6">
        <v>1</v>
      </c>
      <c r="U85" s="7">
        <v>0</v>
      </c>
      <c r="V85" s="6">
        <v>0</v>
      </c>
    </row>
    <row r="86" spans="1:22" ht="15.75">
      <c r="A86" s="11" t="s">
        <v>108</v>
      </c>
      <c r="B86" s="6" t="s">
        <v>38</v>
      </c>
      <c r="C86" s="7">
        <v>1</v>
      </c>
      <c r="D86" s="13">
        <v>2</v>
      </c>
      <c r="E86" s="7">
        <v>1</v>
      </c>
      <c r="F86" s="7" t="s">
        <v>109</v>
      </c>
      <c r="G86" s="8" t="s">
        <v>2</v>
      </c>
      <c r="H86" s="8" t="s">
        <v>2</v>
      </c>
      <c r="I86" s="8" t="s">
        <v>2</v>
      </c>
      <c r="J86" s="7">
        <v>26.37</v>
      </c>
      <c r="K86" s="7">
        <v>0.5</v>
      </c>
      <c r="L86" s="8">
        <v>0.2</v>
      </c>
      <c r="M86" s="12" t="s">
        <v>2</v>
      </c>
      <c r="N86" s="6">
        <v>12</v>
      </c>
      <c r="O86" s="6">
        <v>1</v>
      </c>
      <c r="P86" s="6">
        <v>6</v>
      </c>
      <c r="Q86" s="6">
        <v>12</v>
      </c>
      <c r="R86" s="7" t="s">
        <v>2</v>
      </c>
      <c r="S86" s="7">
        <v>2</v>
      </c>
      <c r="T86" s="6" t="s">
        <v>2</v>
      </c>
      <c r="U86" s="7">
        <v>0</v>
      </c>
      <c r="V86" s="6" t="s">
        <v>2</v>
      </c>
    </row>
    <row r="87" spans="1:22" ht="15.75">
      <c r="A87" s="11" t="s">
        <v>110</v>
      </c>
      <c r="B87" s="6" t="s">
        <v>14</v>
      </c>
      <c r="C87" s="7">
        <v>1</v>
      </c>
      <c r="D87" s="13">
        <v>3</v>
      </c>
      <c r="E87" s="7">
        <v>1</v>
      </c>
      <c r="F87" s="7">
        <v>4</v>
      </c>
      <c r="G87" s="8">
        <f>8/27</f>
        <v>0.29629629629629628</v>
      </c>
      <c r="H87" s="8">
        <f>12/27</f>
        <v>0.44444444444444442</v>
      </c>
      <c r="I87" s="8">
        <f>7/27</f>
        <v>0.25925925925925924</v>
      </c>
      <c r="J87" s="7">
        <v>28.09</v>
      </c>
      <c r="K87" s="7">
        <v>0.85</v>
      </c>
      <c r="L87" s="8">
        <v>1.4</v>
      </c>
      <c r="M87" s="12" t="s">
        <v>2</v>
      </c>
      <c r="N87" s="6">
        <v>6</v>
      </c>
      <c r="O87" s="6">
        <v>5</v>
      </c>
      <c r="P87" s="6">
        <v>4</v>
      </c>
      <c r="Q87" s="6">
        <v>6</v>
      </c>
      <c r="R87" s="6">
        <v>8</v>
      </c>
      <c r="S87" s="7">
        <v>1</v>
      </c>
      <c r="T87" s="6" t="s">
        <v>2</v>
      </c>
      <c r="U87" s="7">
        <v>0</v>
      </c>
      <c r="V87" s="6" t="s">
        <v>2</v>
      </c>
    </row>
    <row r="88" spans="1:22" ht="15.75">
      <c r="A88" s="11" t="s">
        <v>111</v>
      </c>
      <c r="B88" s="6" t="s">
        <v>14</v>
      </c>
      <c r="C88" s="7">
        <v>3</v>
      </c>
      <c r="D88" s="13">
        <v>1</v>
      </c>
      <c r="E88" s="7">
        <v>5</v>
      </c>
      <c r="F88" s="7">
        <v>1</v>
      </c>
      <c r="G88" s="8">
        <f>252/273</f>
        <v>0.92307692307692313</v>
      </c>
      <c r="H88" s="8">
        <f>18/273</f>
        <v>6.5934065934065936E-2</v>
      </c>
      <c r="I88" s="8">
        <f>3/273</f>
        <v>1.098901098901099E-2</v>
      </c>
      <c r="J88" s="7">
        <v>23.78</v>
      </c>
      <c r="K88" s="7">
        <v>1.3</v>
      </c>
      <c r="L88" s="8">
        <v>2.1</v>
      </c>
      <c r="M88" s="12">
        <v>1</v>
      </c>
      <c r="N88" s="6">
        <v>5</v>
      </c>
      <c r="O88" s="6">
        <v>6</v>
      </c>
      <c r="P88" s="6">
        <v>8</v>
      </c>
      <c r="Q88" s="6">
        <v>4</v>
      </c>
      <c r="R88" s="6">
        <v>8</v>
      </c>
      <c r="S88" s="7">
        <v>1</v>
      </c>
      <c r="T88" s="6" t="s">
        <v>2</v>
      </c>
      <c r="U88" s="7">
        <v>0</v>
      </c>
      <c r="V88" s="6" t="s">
        <v>2</v>
      </c>
    </row>
    <row r="89" spans="1:22" ht="15.75">
      <c r="A89" s="11" t="s">
        <v>112</v>
      </c>
      <c r="B89" s="6" t="s">
        <v>113</v>
      </c>
      <c r="C89" s="7">
        <v>2</v>
      </c>
      <c r="D89" s="6">
        <v>2</v>
      </c>
      <c r="E89" s="7">
        <v>3</v>
      </c>
      <c r="F89" s="7">
        <v>5</v>
      </c>
      <c r="G89" s="8" t="s">
        <v>2</v>
      </c>
      <c r="H89" s="8" t="s">
        <v>2</v>
      </c>
      <c r="I89" s="8" t="s">
        <v>2</v>
      </c>
      <c r="J89" s="7">
        <v>15.9</v>
      </c>
      <c r="K89" s="7">
        <v>0.8</v>
      </c>
      <c r="L89" s="8">
        <v>0.1</v>
      </c>
      <c r="M89" s="12" t="s">
        <v>2</v>
      </c>
      <c r="N89" s="6">
        <v>7</v>
      </c>
      <c r="O89" s="6">
        <v>5</v>
      </c>
      <c r="P89" s="6">
        <v>2</v>
      </c>
      <c r="Q89" s="6">
        <v>5</v>
      </c>
      <c r="R89" s="6">
        <v>5</v>
      </c>
      <c r="S89" s="7">
        <v>2</v>
      </c>
      <c r="T89" s="6">
        <v>1</v>
      </c>
      <c r="U89" s="7">
        <v>0</v>
      </c>
      <c r="V89" s="6">
        <v>1</v>
      </c>
    </row>
    <row r="90" spans="1:22" ht="15.75">
      <c r="A90" s="11" t="s">
        <v>114</v>
      </c>
      <c r="B90" s="6" t="s">
        <v>115</v>
      </c>
      <c r="C90" s="7">
        <v>3</v>
      </c>
      <c r="D90" s="6">
        <v>2</v>
      </c>
      <c r="E90" s="7">
        <v>4</v>
      </c>
      <c r="F90" s="7">
        <v>4</v>
      </c>
      <c r="G90" s="8">
        <v>1</v>
      </c>
      <c r="H90" s="8">
        <v>0</v>
      </c>
      <c r="I90" s="8">
        <v>0</v>
      </c>
      <c r="J90" s="7">
        <v>10.73</v>
      </c>
      <c r="K90" s="7">
        <v>0.5</v>
      </c>
      <c r="L90" s="8" t="s">
        <v>116</v>
      </c>
      <c r="M90" s="12" t="s">
        <v>2</v>
      </c>
      <c r="N90" s="6">
        <v>3</v>
      </c>
      <c r="O90" s="6">
        <v>2</v>
      </c>
      <c r="P90" s="6">
        <v>2</v>
      </c>
      <c r="Q90" s="6">
        <v>4</v>
      </c>
      <c r="R90" s="6">
        <v>3</v>
      </c>
      <c r="S90" s="7">
        <v>1</v>
      </c>
      <c r="T90" s="6" t="s">
        <v>39</v>
      </c>
      <c r="U90" s="7">
        <v>0</v>
      </c>
      <c r="V90" s="6">
        <v>1</v>
      </c>
    </row>
    <row r="91" spans="1:22" ht="15.75">
      <c r="A91" s="11" t="s">
        <v>395</v>
      </c>
      <c r="B91" s="6" t="s">
        <v>38</v>
      </c>
      <c r="C91" s="7">
        <v>1</v>
      </c>
      <c r="D91" s="13">
        <v>1</v>
      </c>
      <c r="E91" s="7">
        <v>1</v>
      </c>
      <c r="F91" s="7">
        <v>6</v>
      </c>
      <c r="G91" s="8">
        <f>12/15</f>
        <v>0.8</v>
      </c>
      <c r="H91" s="8">
        <f>2/15</f>
        <v>0.13333333333333333</v>
      </c>
      <c r="I91" s="8">
        <f>1/15</f>
        <v>6.6666666666666666E-2</v>
      </c>
      <c r="J91" s="7">
        <v>32.29</v>
      </c>
      <c r="K91" s="7">
        <v>7.0000000000000007E-2</v>
      </c>
      <c r="L91" s="8">
        <v>1.79</v>
      </c>
      <c r="M91" s="12">
        <v>1</v>
      </c>
      <c r="N91" s="6">
        <v>3</v>
      </c>
      <c r="O91" s="6">
        <v>1</v>
      </c>
      <c r="P91" s="6">
        <v>3</v>
      </c>
      <c r="Q91" s="6">
        <v>5</v>
      </c>
      <c r="R91" s="6">
        <v>1</v>
      </c>
      <c r="S91" s="7">
        <v>2</v>
      </c>
      <c r="T91" s="6">
        <v>0</v>
      </c>
      <c r="U91" s="7">
        <v>0</v>
      </c>
      <c r="V91" s="6">
        <v>1</v>
      </c>
    </row>
    <row r="92" spans="1:22" ht="15.75">
      <c r="A92" s="11" t="s">
        <v>117</v>
      </c>
      <c r="B92" s="6" t="s">
        <v>38</v>
      </c>
      <c r="C92" s="7">
        <v>1</v>
      </c>
      <c r="D92" s="13">
        <v>1</v>
      </c>
      <c r="E92" s="7">
        <v>1</v>
      </c>
      <c r="F92" s="7">
        <v>4</v>
      </c>
      <c r="G92" s="8">
        <f>5/12</f>
        <v>0.41666666666666669</v>
      </c>
      <c r="H92" s="8">
        <f>3/12</f>
        <v>0.25</v>
      </c>
      <c r="I92" s="8">
        <f>4/12</f>
        <v>0.33333333333333331</v>
      </c>
      <c r="J92" s="7">
        <v>22.26</v>
      </c>
      <c r="K92" s="7">
        <v>0.65</v>
      </c>
      <c r="L92" s="8">
        <v>0.4</v>
      </c>
      <c r="M92" s="12">
        <v>2</v>
      </c>
      <c r="N92" s="6">
        <v>5</v>
      </c>
      <c r="O92" s="6">
        <v>5</v>
      </c>
      <c r="P92" s="6">
        <v>5</v>
      </c>
      <c r="Q92" s="6">
        <v>3</v>
      </c>
      <c r="R92" s="7" t="s">
        <v>2</v>
      </c>
      <c r="S92" s="7">
        <v>2</v>
      </c>
      <c r="T92" s="6">
        <v>0</v>
      </c>
      <c r="U92" s="7">
        <v>0</v>
      </c>
      <c r="V92" s="6">
        <v>1</v>
      </c>
    </row>
    <row r="93" spans="1:22" ht="15.75">
      <c r="A93" s="11" t="s">
        <v>118</v>
      </c>
      <c r="B93" s="6" t="s">
        <v>119</v>
      </c>
      <c r="C93" s="7">
        <v>1</v>
      </c>
      <c r="D93" s="6">
        <v>2</v>
      </c>
      <c r="E93" s="7">
        <v>1</v>
      </c>
      <c r="F93" s="7">
        <v>3</v>
      </c>
      <c r="G93" s="8">
        <f>2/14</f>
        <v>0.14285714285714285</v>
      </c>
      <c r="H93" s="8">
        <f>4/14</f>
        <v>0.2857142857142857</v>
      </c>
      <c r="I93" s="8">
        <f>8/14</f>
        <v>0.5714285714285714</v>
      </c>
      <c r="J93" s="7">
        <v>26.1</v>
      </c>
      <c r="K93" s="7">
        <v>0.25</v>
      </c>
      <c r="L93" s="8">
        <v>0.51</v>
      </c>
      <c r="M93" s="12">
        <v>2</v>
      </c>
      <c r="N93" s="6">
        <v>6</v>
      </c>
      <c r="O93" s="6">
        <v>3</v>
      </c>
      <c r="P93" s="6">
        <v>5</v>
      </c>
      <c r="Q93" s="6">
        <v>7</v>
      </c>
      <c r="R93" s="6">
        <v>1</v>
      </c>
      <c r="S93" s="7">
        <v>2</v>
      </c>
      <c r="T93" s="6" t="s">
        <v>18</v>
      </c>
      <c r="U93" s="7">
        <v>0</v>
      </c>
      <c r="V93" s="6">
        <v>1</v>
      </c>
    </row>
    <row r="94" spans="1:22" ht="15.75">
      <c r="A94" s="11" t="s">
        <v>120</v>
      </c>
      <c r="B94" s="6" t="s">
        <v>119</v>
      </c>
      <c r="C94" s="7">
        <v>1</v>
      </c>
      <c r="D94" s="6">
        <v>2</v>
      </c>
      <c r="E94" s="7">
        <v>1</v>
      </c>
      <c r="F94" s="7">
        <v>3</v>
      </c>
      <c r="G94" s="8" t="s">
        <v>2</v>
      </c>
      <c r="H94" s="8" t="s">
        <v>2</v>
      </c>
      <c r="I94" s="8" t="s">
        <v>2</v>
      </c>
      <c r="J94" s="7" t="s">
        <v>2</v>
      </c>
      <c r="K94" s="7">
        <v>0.4</v>
      </c>
      <c r="L94" s="8">
        <v>0.3</v>
      </c>
      <c r="M94" s="12" t="s">
        <v>2</v>
      </c>
      <c r="N94" s="6">
        <v>6</v>
      </c>
      <c r="O94" s="6">
        <v>4</v>
      </c>
      <c r="P94" s="6">
        <v>5</v>
      </c>
      <c r="Q94" s="6">
        <v>6</v>
      </c>
      <c r="R94" s="6">
        <v>2</v>
      </c>
      <c r="S94" s="7">
        <v>2</v>
      </c>
      <c r="T94" s="6" t="s">
        <v>18</v>
      </c>
      <c r="U94" s="7">
        <v>0</v>
      </c>
      <c r="V94" s="6">
        <v>1</v>
      </c>
    </row>
    <row r="95" spans="1:22" ht="15.75">
      <c r="A95" s="11" t="s">
        <v>121</v>
      </c>
      <c r="B95" s="6" t="s">
        <v>119</v>
      </c>
      <c r="C95" s="7">
        <v>1</v>
      </c>
      <c r="D95" s="6">
        <v>2</v>
      </c>
      <c r="E95" s="7">
        <v>1</v>
      </c>
      <c r="F95" s="7">
        <v>3</v>
      </c>
      <c r="G95" s="8">
        <f>12/33</f>
        <v>0.36363636363636365</v>
      </c>
      <c r="H95" s="8">
        <f>6/33</f>
        <v>0.18181818181818182</v>
      </c>
      <c r="I95" s="8">
        <f>15/33</f>
        <v>0.45454545454545453</v>
      </c>
      <c r="J95" s="7">
        <v>33.83</v>
      </c>
      <c r="K95" s="7">
        <v>0.4</v>
      </c>
      <c r="L95" s="8">
        <v>2.5099999999999998</v>
      </c>
      <c r="M95" s="12">
        <v>3</v>
      </c>
      <c r="N95" s="6">
        <v>6</v>
      </c>
      <c r="O95" s="6">
        <v>1</v>
      </c>
      <c r="P95" s="6">
        <v>4</v>
      </c>
      <c r="Q95" s="6" t="s">
        <v>99</v>
      </c>
      <c r="R95" s="6">
        <v>6</v>
      </c>
      <c r="S95" s="7">
        <v>2</v>
      </c>
      <c r="T95" s="6" t="s">
        <v>42</v>
      </c>
      <c r="U95" s="7">
        <v>0</v>
      </c>
      <c r="V95" s="6">
        <v>1</v>
      </c>
    </row>
    <row r="96" spans="1:22" ht="15.75">
      <c r="A96" s="11" t="s">
        <v>122</v>
      </c>
      <c r="B96" s="6" t="s">
        <v>119</v>
      </c>
      <c r="C96" s="7">
        <v>1</v>
      </c>
      <c r="D96" s="6">
        <v>2</v>
      </c>
      <c r="E96" s="7" t="s">
        <v>2</v>
      </c>
      <c r="F96" s="7">
        <v>3</v>
      </c>
      <c r="G96" s="8" t="s">
        <v>2</v>
      </c>
      <c r="H96" s="8" t="s">
        <v>2</v>
      </c>
      <c r="I96" s="8" t="s">
        <v>2</v>
      </c>
      <c r="J96" s="7" t="s">
        <v>2</v>
      </c>
      <c r="K96" s="7">
        <v>0.3</v>
      </c>
      <c r="L96" s="8" t="s">
        <v>2</v>
      </c>
      <c r="M96" s="12" t="s">
        <v>2</v>
      </c>
      <c r="N96" s="6">
        <v>6</v>
      </c>
      <c r="O96" s="6" t="s">
        <v>123</v>
      </c>
      <c r="P96" s="6">
        <v>5</v>
      </c>
      <c r="Q96" s="6" t="s">
        <v>41</v>
      </c>
      <c r="R96" s="6">
        <v>4</v>
      </c>
      <c r="S96" s="7">
        <v>2</v>
      </c>
      <c r="T96" s="6" t="s">
        <v>2</v>
      </c>
      <c r="U96" s="7">
        <v>0</v>
      </c>
      <c r="V96" s="6" t="s">
        <v>2</v>
      </c>
    </row>
    <row r="97" spans="1:22" ht="15.75">
      <c r="A97" s="10" t="s">
        <v>396</v>
      </c>
      <c r="B97" s="6" t="s">
        <v>14</v>
      </c>
      <c r="C97" s="7">
        <v>2</v>
      </c>
      <c r="D97" s="13">
        <v>3</v>
      </c>
      <c r="E97" s="7">
        <v>3</v>
      </c>
      <c r="F97" s="7">
        <v>1</v>
      </c>
      <c r="G97" s="8">
        <f>176/189</f>
        <v>0.93121693121693117</v>
      </c>
      <c r="H97" s="8">
        <f>13/189</f>
        <v>6.8783068783068779E-2</v>
      </c>
      <c r="I97" s="8">
        <v>0</v>
      </c>
      <c r="J97" s="7">
        <v>25.02</v>
      </c>
      <c r="K97" s="7">
        <v>0.8</v>
      </c>
      <c r="L97" s="8">
        <v>1.7</v>
      </c>
      <c r="M97" s="12">
        <v>1</v>
      </c>
      <c r="N97" s="6">
        <v>6</v>
      </c>
      <c r="O97" s="6">
        <v>5</v>
      </c>
      <c r="P97" s="6">
        <v>2</v>
      </c>
      <c r="Q97" s="6">
        <v>3</v>
      </c>
      <c r="R97" s="6">
        <v>6</v>
      </c>
      <c r="S97" s="7">
        <v>1</v>
      </c>
      <c r="T97" s="6" t="s">
        <v>42</v>
      </c>
      <c r="U97" s="7">
        <v>0</v>
      </c>
      <c r="V97" s="6">
        <v>0</v>
      </c>
    </row>
    <row r="98" spans="1:22" ht="15.75">
      <c r="A98" s="18" t="s">
        <v>124</v>
      </c>
      <c r="B98" s="6" t="s">
        <v>14</v>
      </c>
      <c r="C98" s="7">
        <v>2</v>
      </c>
      <c r="D98" s="13">
        <v>3</v>
      </c>
      <c r="E98" s="7">
        <v>4</v>
      </c>
      <c r="F98" s="7">
        <v>1</v>
      </c>
      <c r="G98" s="8">
        <f>254/295</f>
        <v>0.86101694915254234</v>
      </c>
      <c r="H98" s="8">
        <f>36/295</f>
        <v>0.12203389830508475</v>
      </c>
      <c r="I98" s="8">
        <f>5/295</f>
        <v>1.6949152542372881E-2</v>
      </c>
      <c r="J98" s="7">
        <v>20.03</v>
      </c>
      <c r="K98" s="7">
        <v>0.83</v>
      </c>
      <c r="L98" s="8">
        <v>0.97</v>
      </c>
      <c r="M98" s="12">
        <v>1</v>
      </c>
      <c r="N98" s="6">
        <v>6</v>
      </c>
      <c r="O98" s="6">
        <v>5</v>
      </c>
      <c r="P98" s="6">
        <v>2</v>
      </c>
      <c r="Q98" s="6">
        <v>4</v>
      </c>
      <c r="R98" s="6">
        <v>3</v>
      </c>
      <c r="S98" s="7">
        <v>1</v>
      </c>
      <c r="T98" s="6" t="s">
        <v>42</v>
      </c>
      <c r="U98" s="7">
        <v>0</v>
      </c>
      <c r="V98" s="6">
        <v>0</v>
      </c>
    </row>
    <row r="99" spans="1:22" ht="15.75">
      <c r="A99" s="11" t="s">
        <v>125</v>
      </c>
      <c r="B99" s="6" t="s">
        <v>25</v>
      </c>
      <c r="C99" s="7">
        <v>1</v>
      </c>
      <c r="D99" s="6">
        <v>1</v>
      </c>
      <c r="E99" s="7">
        <v>1</v>
      </c>
      <c r="F99" s="7">
        <v>6</v>
      </c>
      <c r="G99" s="8">
        <v>0</v>
      </c>
      <c r="H99" s="8">
        <v>1</v>
      </c>
      <c r="I99" s="8">
        <v>0</v>
      </c>
      <c r="J99" s="7">
        <v>31.52</v>
      </c>
      <c r="K99" s="7">
        <v>0.23</v>
      </c>
      <c r="L99" s="8">
        <v>0.05</v>
      </c>
      <c r="M99" s="12" t="s">
        <v>2</v>
      </c>
      <c r="N99" s="6">
        <v>7</v>
      </c>
      <c r="O99" s="6">
        <v>6</v>
      </c>
      <c r="P99" s="6">
        <v>3</v>
      </c>
      <c r="Q99" s="6">
        <v>4</v>
      </c>
      <c r="R99" s="6">
        <v>1</v>
      </c>
      <c r="S99" s="7">
        <v>2</v>
      </c>
      <c r="T99" s="6" t="s">
        <v>10</v>
      </c>
      <c r="U99" s="7">
        <v>0</v>
      </c>
      <c r="V99" s="6">
        <v>1</v>
      </c>
    </row>
    <row r="100" spans="1:22" s="1" customFormat="1" ht="15.75">
      <c r="A100" s="11" t="s">
        <v>126</v>
      </c>
      <c r="B100" s="6" t="s">
        <v>36</v>
      </c>
      <c r="C100" s="7">
        <v>2</v>
      </c>
      <c r="D100" s="6">
        <v>1</v>
      </c>
      <c r="E100" s="7">
        <v>5</v>
      </c>
      <c r="F100" s="7">
        <v>7</v>
      </c>
      <c r="G100" s="8">
        <f>55/81</f>
        <v>0.67901234567901236</v>
      </c>
      <c r="H100" s="8">
        <f>13/81</f>
        <v>0.16049382716049382</v>
      </c>
      <c r="I100" s="8">
        <f>13/81</f>
        <v>0.16049382716049382</v>
      </c>
      <c r="J100" s="7">
        <v>23.33</v>
      </c>
      <c r="K100" s="7">
        <v>0.23</v>
      </c>
      <c r="L100" s="8">
        <v>0.3</v>
      </c>
      <c r="M100" s="12">
        <v>2</v>
      </c>
      <c r="N100" s="6">
        <v>5</v>
      </c>
      <c r="O100" s="6">
        <v>3</v>
      </c>
      <c r="P100" s="6">
        <v>2</v>
      </c>
      <c r="Q100" s="6">
        <v>6</v>
      </c>
      <c r="R100" s="6">
        <v>5</v>
      </c>
      <c r="S100" s="7">
        <v>2</v>
      </c>
      <c r="T100" s="6">
        <v>1</v>
      </c>
      <c r="U100" s="7">
        <v>0</v>
      </c>
      <c r="V100" s="6">
        <v>1</v>
      </c>
    </row>
    <row r="101" spans="1:22" ht="15.75">
      <c r="A101" s="11" t="s">
        <v>127</v>
      </c>
      <c r="B101" s="6" t="s">
        <v>128</v>
      </c>
      <c r="C101" s="7">
        <v>1</v>
      </c>
      <c r="D101" s="6">
        <v>1</v>
      </c>
      <c r="E101" s="7">
        <v>1</v>
      </c>
      <c r="F101" s="7">
        <v>3</v>
      </c>
      <c r="G101" s="8">
        <f>15/38</f>
        <v>0.39473684210526316</v>
      </c>
      <c r="H101" s="8">
        <f>4/38</f>
        <v>0.10526315789473684</v>
      </c>
      <c r="I101" s="8">
        <f>19/38</f>
        <v>0.5</v>
      </c>
      <c r="J101" s="7">
        <v>28.54</v>
      </c>
      <c r="K101" s="7">
        <v>0.625</v>
      </c>
      <c r="L101" s="8">
        <v>3</v>
      </c>
      <c r="M101" s="12">
        <v>2</v>
      </c>
      <c r="N101" s="6">
        <v>5</v>
      </c>
      <c r="O101" s="6">
        <v>2</v>
      </c>
      <c r="P101" s="6">
        <v>6</v>
      </c>
      <c r="Q101" s="6">
        <v>9</v>
      </c>
      <c r="R101" s="6">
        <v>6</v>
      </c>
      <c r="S101" s="7">
        <v>2</v>
      </c>
      <c r="T101" s="6" t="s">
        <v>39</v>
      </c>
      <c r="U101" s="7">
        <v>0</v>
      </c>
      <c r="V101" s="6">
        <v>1</v>
      </c>
    </row>
    <row r="102" spans="1:22" ht="15.75">
      <c r="A102" s="11" t="s">
        <v>129</v>
      </c>
      <c r="B102" s="6" t="s">
        <v>128</v>
      </c>
      <c r="C102" s="7">
        <v>1</v>
      </c>
      <c r="D102" s="6">
        <v>2</v>
      </c>
      <c r="E102" s="7">
        <v>1</v>
      </c>
      <c r="F102" s="7">
        <v>3</v>
      </c>
      <c r="G102" s="8" t="s">
        <v>2</v>
      </c>
      <c r="H102" s="8" t="s">
        <v>2</v>
      </c>
      <c r="I102" s="8" t="s">
        <v>2</v>
      </c>
      <c r="J102" s="7">
        <v>25.91</v>
      </c>
      <c r="K102" s="7">
        <v>0.49</v>
      </c>
      <c r="L102" s="8">
        <v>2</v>
      </c>
      <c r="M102" s="12" t="s">
        <v>2</v>
      </c>
      <c r="N102" s="6">
        <v>6</v>
      </c>
      <c r="O102" s="6">
        <v>2</v>
      </c>
      <c r="P102" s="6">
        <v>4</v>
      </c>
      <c r="Q102" s="6">
        <v>6</v>
      </c>
      <c r="R102" s="6">
        <v>2</v>
      </c>
      <c r="S102" s="7">
        <v>2</v>
      </c>
      <c r="T102" s="6" t="s">
        <v>18</v>
      </c>
      <c r="U102" s="7">
        <v>0</v>
      </c>
      <c r="V102" s="6">
        <v>1</v>
      </c>
    </row>
    <row r="103" spans="1:22" s="4" customFormat="1" ht="15.75">
      <c r="A103" s="10" t="s">
        <v>130</v>
      </c>
      <c r="B103" s="6" t="s">
        <v>9</v>
      </c>
      <c r="C103" s="7">
        <v>1</v>
      </c>
      <c r="D103" s="6">
        <v>2</v>
      </c>
      <c r="E103" s="7">
        <v>1</v>
      </c>
      <c r="F103" s="7">
        <v>4</v>
      </c>
      <c r="G103" s="8" t="s">
        <v>2</v>
      </c>
      <c r="H103" s="8" t="s">
        <v>2</v>
      </c>
      <c r="I103" s="8" t="s">
        <v>2</v>
      </c>
      <c r="J103" s="7">
        <v>18.7</v>
      </c>
      <c r="K103" s="7">
        <v>0.73</v>
      </c>
      <c r="L103" s="8">
        <v>3.4</v>
      </c>
      <c r="M103" s="12">
        <v>2</v>
      </c>
      <c r="N103" s="6">
        <v>6</v>
      </c>
      <c r="O103" s="6">
        <v>7</v>
      </c>
      <c r="P103" s="6">
        <v>5</v>
      </c>
      <c r="Q103" s="6">
        <v>4</v>
      </c>
      <c r="R103" s="6">
        <v>1</v>
      </c>
      <c r="S103" s="24">
        <v>2</v>
      </c>
      <c r="T103" s="6" t="s">
        <v>18</v>
      </c>
      <c r="U103" s="7">
        <v>0</v>
      </c>
      <c r="V103" s="6">
        <v>1</v>
      </c>
    </row>
    <row r="104" spans="1:22" ht="15.75">
      <c r="A104" s="10" t="s">
        <v>397</v>
      </c>
      <c r="B104" s="6" t="s">
        <v>9</v>
      </c>
      <c r="C104" s="7">
        <v>1</v>
      </c>
      <c r="D104" s="6">
        <v>2</v>
      </c>
      <c r="E104" s="7">
        <v>1</v>
      </c>
      <c r="F104" s="7">
        <v>4</v>
      </c>
      <c r="G104" s="8" t="s">
        <v>2</v>
      </c>
      <c r="H104" s="8" t="s">
        <v>2</v>
      </c>
      <c r="I104" s="8" t="s">
        <v>2</v>
      </c>
      <c r="J104" s="7">
        <v>19.36</v>
      </c>
      <c r="K104" s="7">
        <v>0.8</v>
      </c>
      <c r="L104" s="8">
        <v>1.2</v>
      </c>
      <c r="M104" s="12" t="s">
        <v>2</v>
      </c>
      <c r="N104" s="6">
        <v>6</v>
      </c>
      <c r="O104" s="6">
        <v>7</v>
      </c>
      <c r="P104" s="6">
        <v>5</v>
      </c>
      <c r="Q104" s="6">
        <v>4</v>
      </c>
      <c r="R104" s="6">
        <v>1</v>
      </c>
      <c r="S104" s="7">
        <v>2</v>
      </c>
      <c r="T104" s="6" t="s">
        <v>18</v>
      </c>
      <c r="U104" s="7">
        <v>0</v>
      </c>
      <c r="V104" s="6">
        <v>1</v>
      </c>
    </row>
    <row r="105" spans="1:22" ht="15.75">
      <c r="A105" s="11" t="s">
        <v>131</v>
      </c>
      <c r="B105" s="6" t="s">
        <v>9</v>
      </c>
      <c r="C105" s="7">
        <v>1</v>
      </c>
      <c r="D105" s="6">
        <v>2</v>
      </c>
      <c r="E105" s="7">
        <v>1</v>
      </c>
      <c r="F105" s="7">
        <v>4</v>
      </c>
      <c r="G105" s="8">
        <f>29/53</f>
        <v>0.54716981132075471</v>
      </c>
      <c r="H105" s="8">
        <f>14/53</f>
        <v>0.26415094339622641</v>
      </c>
      <c r="I105" s="8">
        <f>10/53</f>
        <v>0.18867924528301888</v>
      </c>
      <c r="J105" s="7">
        <v>31.5</v>
      </c>
      <c r="K105" s="7">
        <v>0.85</v>
      </c>
      <c r="L105" s="8">
        <v>4.71</v>
      </c>
      <c r="M105" s="12">
        <v>2</v>
      </c>
      <c r="N105" s="6">
        <v>6</v>
      </c>
      <c r="O105" s="6">
        <v>7</v>
      </c>
      <c r="P105" s="6">
        <v>5</v>
      </c>
      <c r="Q105" s="6">
        <v>4</v>
      </c>
      <c r="R105" s="6">
        <v>2</v>
      </c>
      <c r="S105" s="7">
        <v>2</v>
      </c>
      <c r="T105" s="6">
        <v>0</v>
      </c>
      <c r="U105" s="7">
        <v>0</v>
      </c>
      <c r="V105" s="6">
        <v>1</v>
      </c>
    </row>
    <row r="106" spans="1:22" ht="15.75">
      <c r="A106" s="11" t="s">
        <v>132</v>
      </c>
      <c r="B106" s="6" t="s">
        <v>25</v>
      </c>
      <c r="C106" s="7">
        <v>1</v>
      </c>
      <c r="D106" s="6">
        <v>2</v>
      </c>
      <c r="E106" s="7">
        <v>1</v>
      </c>
      <c r="F106" s="7">
        <v>4</v>
      </c>
      <c r="G106" s="8">
        <f>2/9</f>
        <v>0.22222222222222221</v>
      </c>
      <c r="H106" s="8">
        <f>1/9</f>
        <v>0.1111111111111111</v>
      </c>
      <c r="I106" s="8">
        <f>6/9</f>
        <v>0.66666666666666663</v>
      </c>
      <c r="J106" s="7">
        <v>38.4</v>
      </c>
      <c r="K106" s="7">
        <v>0.53</v>
      </c>
      <c r="L106" s="8">
        <v>0.2</v>
      </c>
      <c r="M106" s="12" t="s">
        <v>2</v>
      </c>
      <c r="N106" s="6">
        <v>5</v>
      </c>
      <c r="O106" s="6">
        <v>6</v>
      </c>
      <c r="P106" s="6">
        <v>6</v>
      </c>
      <c r="Q106" s="6">
        <v>5</v>
      </c>
      <c r="R106" s="6">
        <v>8</v>
      </c>
      <c r="S106" s="7">
        <v>2</v>
      </c>
      <c r="T106" s="6">
        <v>1</v>
      </c>
      <c r="U106" s="7">
        <v>0</v>
      </c>
      <c r="V106" s="6">
        <v>1</v>
      </c>
    </row>
    <row r="107" spans="1:22" ht="15.75">
      <c r="A107" s="11" t="s">
        <v>133</v>
      </c>
      <c r="B107" s="6" t="s">
        <v>25</v>
      </c>
      <c r="C107" s="7">
        <v>1</v>
      </c>
      <c r="D107" s="6">
        <v>2</v>
      </c>
      <c r="E107" s="7">
        <v>1</v>
      </c>
      <c r="F107" s="7">
        <v>4</v>
      </c>
      <c r="G107" s="8">
        <v>0</v>
      </c>
      <c r="H107" s="8">
        <f>4/6</f>
        <v>0.66666666666666663</v>
      </c>
      <c r="I107" s="8">
        <f>2/6</f>
        <v>0.33333333333333331</v>
      </c>
      <c r="J107" s="7">
        <v>39.08</v>
      </c>
      <c r="K107" s="7">
        <v>0.54</v>
      </c>
      <c r="L107" s="8">
        <v>0.2</v>
      </c>
      <c r="M107" s="12">
        <v>1</v>
      </c>
      <c r="N107" s="6">
        <v>5</v>
      </c>
      <c r="O107" s="6">
        <v>6</v>
      </c>
      <c r="P107" s="6">
        <v>6</v>
      </c>
      <c r="Q107" s="6">
        <v>5</v>
      </c>
      <c r="R107" s="6">
        <v>8</v>
      </c>
      <c r="S107" s="7">
        <v>2</v>
      </c>
      <c r="T107" s="6">
        <v>1</v>
      </c>
      <c r="U107" s="7">
        <v>0</v>
      </c>
      <c r="V107" s="6">
        <v>1</v>
      </c>
    </row>
    <row r="108" spans="1:22" ht="15.75">
      <c r="A108" s="11" t="s">
        <v>134</v>
      </c>
      <c r="B108" s="6" t="s">
        <v>135</v>
      </c>
      <c r="C108" s="7">
        <v>1</v>
      </c>
      <c r="D108" s="6">
        <v>2</v>
      </c>
      <c r="E108" s="7">
        <v>1</v>
      </c>
      <c r="F108" s="7">
        <v>4</v>
      </c>
      <c r="G108" s="8">
        <f>145/172</f>
        <v>0.84302325581395354</v>
      </c>
      <c r="H108" s="8">
        <f>24/172</f>
        <v>0.13953488372093023</v>
      </c>
      <c r="I108" s="8">
        <f>3/172</f>
        <v>1.7441860465116279E-2</v>
      </c>
      <c r="J108" s="7">
        <v>34.68</v>
      </c>
      <c r="K108" s="7">
        <v>1.6</v>
      </c>
      <c r="L108" s="8">
        <v>7.78</v>
      </c>
      <c r="M108" s="12">
        <v>1</v>
      </c>
      <c r="N108" s="6">
        <v>6</v>
      </c>
      <c r="O108" s="6">
        <v>6</v>
      </c>
      <c r="P108" s="6">
        <v>5</v>
      </c>
      <c r="Q108" s="6">
        <v>5</v>
      </c>
      <c r="R108" s="6">
        <v>5</v>
      </c>
      <c r="S108" s="7">
        <v>2</v>
      </c>
      <c r="T108" s="6">
        <v>1</v>
      </c>
      <c r="U108" s="7">
        <v>0</v>
      </c>
      <c r="V108" s="6">
        <v>1</v>
      </c>
    </row>
    <row r="109" spans="1:22" ht="15.75">
      <c r="A109" s="11" t="s">
        <v>136</v>
      </c>
      <c r="B109" s="6" t="s">
        <v>137</v>
      </c>
      <c r="C109" s="7">
        <v>1</v>
      </c>
      <c r="D109" s="6">
        <v>1</v>
      </c>
      <c r="E109" s="7">
        <v>1</v>
      </c>
      <c r="F109" s="7">
        <v>4</v>
      </c>
      <c r="G109" s="8">
        <f>34/44</f>
        <v>0.77272727272727271</v>
      </c>
      <c r="H109" s="8">
        <f>7/44</f>
        <v>0.15909090909090909</v>
      </c>
      <c r="I109" s="8">
        <f>3/44</f>
        <v>6.8181818181818177E-2</v>
      </c>
      <c r="J109" s="7">
        <v>23.2</v>
      </c>
      <c r="K109" s="7">
        <v>0.6</v>
      </c>
      <c r="L109" s="8">
        <v>2.6</v>
      </c>
      <c r="M109" s="12">
        <v>2</v>
      </c>
      <c r="N109" s="6">
        <v>5</v>
      </c>
      <c r="O109" s="6">
        <v>4</v>
      </c>
      <c r="P109" s="6">
        <v>4</v>
      </c>
      <c r="Q109" s="6" t="s">
        <v>138</v>
      </c>
      <c r="R109" s="6">
        <v>2</v>
      </c>
      <c r="S109" s="7">
        <v>2</v>
      </c>
      <c r="T109" s="6">
        <v>1</v>
      </c>
      <c r="U109" s="7">
        <v>0</v>
      </c>
      <c r="V109" s="6">
        <v>1</v>
      </c>
    </row>
    <row r="110" spans="1:22" ht="15.75">
      <c r="A110" s="11" t="s">
        <v>139</v>
      </c>
      <c r="B110" s="6" t="s">
        <v>137</v>
      </c>
      <c r="C110" s="7">
        <v>1</v>
      </c>
      <c r="D110" s="6">
        <v>1</v>
      </c>
      <c r="E110" s="7">
        <v>2</v>
      </c>
      <c r="F110" s="7">
        <v>3</v>
      </c>
      <c r="G110" s="8">
        <f>33/35</f>
        <v>0.94285714285714284</v>
      </c>
      <c r="H110" s="8">
        <f>1/35</f>
        <v>2.8571428571428571E-2</v>
      </c>
      <c r="I110" s="8">
        <f>1/35</f>
        <v>2.8571428571428571E-2</v>
      </c>
      <c r="J110" s="7">
        <v>27.63</v>
      </c>
      <c r="K110" s="7">
        <v>0.35</v>
      </c>
      <c r="L110" s="8">
        <v>1.18</v>
      </c>
      <c r="M110" s="12">
        <v>1</v>
      </c>
      <c r="N110" s="6">
        <v>5</v>
      </c>
      <c r="O110" s="6">
        <v>2</v>
      </c>
      <c r="P110" s="6">
        <v>6</v>
      </c>
      <c r="Q110" s="6">
        <v>8</v>
      </c>
      <c r="R110" s="6">
        <v>4</v>
      </c>
      <c r="S110" s="7">
        <v>2</v>
      </c>
      <c r="T110" s="6">
        <v>1</v>
      </c>
      <c r="U110" s="7">
        <v>0</v>
      </c>
      <c r="V110" s="6">
        <v>1</v>
      </c>
    </row>
    <row r="111" spans="1:22" ht="15.75">
      <c r="A111" s="11" t="s">
        <v>140</v>
      </c>
      <c r="B111" s="6" t="s">
        <v>141</v>
      </c>
      <c r="C111" s="7">
        <v>1</v>
      </c>
      <c r="D111" s="6">
        <v>2</v>
      </c>
      <c r="E111" s="7">
        <v>1</v>
      </c>
      <c r="F111" s="7" t="s">
        <v>2</v>
      </c>
      <c r="G111" s="8" t="s">
        <v>2</v>
      </c>
      <c r="H111" s="8" t="s">
        <v>2</v>
      </c>
      <c r="I111" s="8" t="s">
        <v>2</v>
      </c>
      <c r="J111" s="7">
        <v>24.5</v>
      </c>
      <c r="K111" s="7" t="s">
        <v>2</v>
      </c>
      <c r="L111" s="8">
        <v>185</v>
      </c>
      <c r="M111" s="12" t="s">
        <v>2</v>
      </c>
      <c r="N111" s="6" t="s">
        <v>2</v>
      </c>
      <c r="O111" s="6">
        <v>7</v>
      </c>
      <c r="P111" s="6" t="s">
        <v>2</v>
      </c>
      <c r="Q111" s="6">
        <v>2</v>
      </c>
      <c r="R111" s="7" t="s">
        <v>2</v>
      </c>
      <c r="S111" s="7">
        <v>2</v>
      </c>
      <c r="T111" s="6" t="s">
        <v>2</v>
      </c>
      <c r="U111" s="7">
        <v>1</v>
      </c>
      <c r="V111" s="6" t="s">
        <v>2</v>
      </c>
    </row>
    <row r="112" spans="1:22" ht="15.75">
      <c r="A112" s="11" t="s">
        <v>142</v>
      </c>
      <c r="B112" s="6" t="s">
        <v>141</v>
      </c>
      <c r="C112" s="7">
        <v>2</v>
      </c>
      <c r="D112" s="6">
        <v>2</v>
      </c>
      <c r="E112" s="7">
        <v>3</v>
      </c>
      <c r="F112" s="7" t="s">
        <v>2</v>
      </c>
      <c r="G112" s="8" t="s">
        <v>2</v>
      </c>
      <c r="H112" s="8" t="s">
        <v>2</v>
      </c>
      <c r="I112" s="8" t="s">
        <v>2</v>
      </c>
      <c r="J112" s="7" t="s">
        <v>2</v>
      </c>
      <c r="K112" s="7">
        <v>1</v>
      </c>
      <c r="L112" s="8">
        <v>4.83</v>
      </c>
      <c r="M112" s="12" t="s">
        <v>2</v>
      </c>
      <c r="N112" s="6">
        <v>4</v>
      </c>
      <c r="O112" s="6">
        <v>4</v>
      </c>
      <c r="P112" s="6">
        <v>1</v>
      </c>
      <c r="Q112" s="6">
        <v>3</v>
      </c>
      <c r="R112" s="6">
        <v>3</v>
      </c>
      <c r="S112" s="7">
        <v>2</v>
      </c>
      <c r="T112" s="20" t="s">
        <v>2</v>
      </c>
      <c r="U112" s="7">
        <v>1</v>
      </c>
      <c r="V112" s="20" t="s">
        <v>2</v>
      </c>
    </row>
    <row r="113" spans="1:22" ht="15" customHeight="1">
      <c r="A113" s="11" t="s">
        <v>143</v>
      </c>
      <c r="B113" s="6" t="s">
        <v>25</v>
      </c>
      <c r="C113" s="7">
        <v>1</v>
      </c>
      <c r="D113" s="6">
        <v>2</v>
      </c>
      <c r="E113" s="7">
        <v>1</v>
      </c>
      <c r="F113" s="7">
        <v>4</v>
      </c>
      <c r="G113" s="8">
        <v>0</v>
      </c>
      <c r="H113" s="8">
        <f>3/4</f>
        <v>0.75</v>
      </c>
      <c r="I113" s="8">
        <f>1/4</f>
        <v>0.25</v>
      </c>
      <c r="J113" s="7">
        <v>19.43</v>
      </c>
      <c r="K113" s="7">
        <v>2.7</v>
      </c>
      <c r="L113" s="8">
        <v>42.8</v>
      </c>
      <c r="M113" s="12" t="s">
        <v>2</v>
      </c>
      <c r="N113" s="6">
        <v>8</v>
      </c>
      <c r="O113" s="6">
        <v>7</v>
      </c>
      <c r="P113" s="6">
        <v>3</v>
      </c>
      <c r="Q113" s="6">
        <v>4</v>
      </c>
      <c r="R113" s="6">
        <v>7</v>
      </c>
      <c r="S113" s="7">
        <v>2</v>
      </c>
      <c r="T113" s="6">
        <v>1</v>
      </c>
      <c r="U113" s="7">
        <v>0</v>
      </c>
      <c r="V113" s="6">
        <v>1</v>
      </c>
    </row>
    <row r="114" spans="1:22" ht="15.75">
      <c r="A114" s="11" t="s">
        <v>144</v>
      </c>
      <c r="B114" s="6" t="s">
        <v>25</v>
      </c>
      <c r="C114" s="7">
        <v>3</v>
      </c>
      <c r="D114" s="6">
        <v>2</v>
      </c>
      <c r="E114" s="7">
        <v>3</v>
      </c>
      <c r="F114" s="7">
        <v>1</v>
      </c>
      <c r="G114" s="8" t="s">
        <v>2</v>
      </c>
      <c r="H114" s="8" t="s">
        <v>2</v>
      </c>
      <c r="I114" s="8" t="s">
        <v>2</v>
      </c>
      <c r="J114" s="7">
        <v>32.81</v>
      </c>
      <c r="K114" s="7">
        <v>2.5</v>
      </c>
      <c r="L114" s="8">
        <v>3.8</v>
      </c>
      <c r="M114" s="12" t="s">
        <v>2</v>
      </c>
      <c r="N114" s="6">
        <v>10</v>
      </c>
      <c r="O114" s="6">
        <v>8</v>
      </c>
      <c r="P114" s="6">
        <v>3</v>
      </c>
      <c r="Q114" s="6">
        <v>3</v>
      </c>
      <c r="R114" s="6">
        <v>6</v>
      </c>
      <c r="S114" s="7">
        <v>2</v>
      </c>
      <c r="T114" s="6" t="s">
        <v>10</v>
      </c>
      <c r="U114" s="7">
        <v>0</v>
      </c>
      <c r="V114" s="6">
        <v>1</v>
      </c>
    </row>
    <row r="115" spans="1:22" ht="15.75">
      <c r="A115" s="11" t="s">
        <v>145</v>
      </c>
      <c r="B115" s="6" t="s">
        <v>30</v>
      </c>
      <c r="C115" s="7">
        <v>1</v>
      </c>
      <c r="D115" s="6">
        <v>1</v>
      </c>
      <c r="E115" s="7">
        <v>1</v>
      </c>
      <c r="F115" s="7">
        <v>3</v>
      </c>
      <c r="G115" s="8">
        <f>2/3</f>
        <v>0.66666666666666663</v>
      </c>
      <c r="H115" s="8">
        <f>1/3</f>
        <v>0.33333333333333331</v>
      </c>
      <c r="I115" s="8">
        <v>0</v>
      </c>
      <c r="J115" s="7" t="s">
        <v>2</v>
      </c>
      <c r="K115" s="7">
        <v>0.25</v>
      </c>
      <c r="L115" s="8">
        <v>1.1000000000000001</v>
      </c>
      <c r="M115" s="12" t="s">
        <v>2</v>
      </c>
      <c r="N115" s="6">
        <v>7</v>
      </c>
      <c r="O115" s="6">
        <v>6</v>
      </c>
      <c r="P115" s="6">
        <v>3</v>
      </c>
      <c r="Q115" s="6">
        <v>5</v>
      </c>
      <c r="R115" s="6">
        <v>2</v>
      </c>
      <c r="S115" s="7">
        <v>2</v>
      </c>
      <c r="T115" s="6">
        <v>1</v>
      </c>
      <c r="U115" s="7">
        <v>0</v>
      </c>
      <c r="V115" s="6">
        <v>1</v>
      </c>
    </row>
    <row r="116" spans="1:22" ht="15.75">
      <c r="A116" s="11" t="s">
        <v>146</v>
      </c>
      <c r="B116" s="6" t="s">
        <v>4</v>
      </c>
      <c r="C116" s="7">
        <v>3</v>
      </c>
      <c r="D116" s="6">
        <v>1</v>
      </c>
      <c r="E116" s="7">
        <v>5</v>
      </c>
      <c r="F116" s="7">
        <v>5</v>
      </c>
      <c r="G116" s="8">
        <v>1</v>
      </c>
      <c r="H116" s="8">
        <v>0</v>
      </c>
      <c r="I116" s="8">
        <v>0</v>
      </c>
      <c r="J116" s="7">
        <v>11.2</v>
      </c>
      <c r="K116" s="7">
        <v>0.4</v>
      </c>
      <c r="L116" s="8">
        <v>10.65</v>
      </c>
      <c r="M116" s="12">
        <v>2</v>
      </c>
      <c r="N116" s="6">
        <v>3</v>
      </c>
      <c r="O116" s="6">
        <v>2</v>
      </c>
      <c r="P116" s="6">
        <v>2</v>
      </c>
      <c r="Q116" s="6">
        <v>3</v>
      </c>
      <c r="R116" s="6">
        <v>5</v>
      </c>
      <c r="S116" s="7">
        <v>2</v>
      </c>
      <c r="T116" s="6" t="s">
        <v>10</v>
      </c>
      <c r="U116" s="7">
        <v>0</v>
      </c>
      <c r="V116" s="6">
        <v>1</v>
      </c>
    </row>
    <row r="117" spans="1:22" ht="15.75">
      <c r="A117" s="11" t="s">
        <v>147</v>
      </c>
      <c r="B117" s="6" t="s">
        <v>7</v>
      </c>
      <c r="C117" s="7">
        <v>1</v>
      </c>
      <c r="D117" s="6">
        <v>2</v>
      </c>
      <c r="E117" s="7">
        <v>3</v>
      </c>
      <c r="F117" s="7">
        <v>3</v>
      </c>
      <c r="G117" s="8">
        <v>1</v>
      </c>
      <c r="H117" s="8">
        <v>0</v>
      </c>
      <c r="I117" s="8">
        <v>0</v>
      </c>
      <c r="J117" s="7">
        <v>26.94</v>
      </c>
      <c r="K117" s="7">
        <v>0.15</v>
      </c>
      <c r="L117" s="8">
        <v>0.1</v>
      </c>
      <c r="M117" s="12" t="s">
        <v>2</v>
      </c>
      <c r="N117" s="6">
        <v>7</v>
      </c>
      <c r="O117" s="6">
        <v>3</v>
      </c>
      <c r="P117" s="6">
        <v>3</v>
      </c>
      <c r="Q117" s="6">
        <v>5</v>
      </c>
      <c r="R117" s="6">
        <v>2</v>
      </c>
      <c r="S117" s="7">
        <v>2</v>
      </c>
      <c r="T117" s="6" t="s">
        <v>18</v>
      </c>
      <c r="U117" s="7">
        <v>0</v>
      </c>
      <c r="V117" s="6">
        <v>1</v>
      </c>
    </row>
    <row r="118" spans="1:22" ht="15.75">
      <c r="A118" s="11" t="s">
        <v>148</v>
      </c>
      <c r="B118" s="6" t="s">
        <v>14</v>
      </c>
      <c r="C118" s="7">
        <v>2</v>
      </c>
      <c r="D118" s="13">
        <v>3</v>
      </c>
      <c r="E118" s="7">
        <v>3</v>
      </c>
      <c r="F118" s="7">
        <v>7</v>
      </c>
      <c r="G118" s="8">
        <f>58/60</f>
        <v>0.96666666666666667</v>
      </c>
      <c r="H118" s="8">
        <f>2/60</f>
        <v>3.3333333333333333E-2</v>
      </c>
      <c r="I118" s="8">
        <v>0</v>
      </c>
      <c r="J118" s="7">
        <v>40.299999999999997</v>
      </c>
      <c r="K118" s="7">
        <v>0.4</v>
      </c>
      <c r="L118" s="8">
        <v>0.33</v>
      </c>
      <c r="M118" s="12">
        <v>2</v>
      </c>
      <c r="N118" s="6">
        <v>6</v>
      </c>
      <c r="O118" s="6">
        <v>6</v>
      </c>
      <c r="P118" s="6">
        <v>3</v>
      </c>
      <c r="Q118" s="6">
        <v>4</v>
      </c>
      <c r="R118" s="6">
        <v>3</v>
      </c>
      <c r="S118" s="7">
        <v>1</v>
      </c>
      <c r="T118" s="6">
        <v>1</v>
      </c>
      <c r="U118" s="7">
        <v>0</v>
      </c>
      <c r="V118" s="6">
        <v>0</v>
      </c>
    </row>
    <row r="119" spans="1:22" ht="15.75">
      <c r="A119" s="11" t="s">
        <v>149</v>
      </c>
      <c r="B119" s="6" t="s">
        <v>14</v>
      </c>
      <c r="C119" s="7">
        <v>1</v>
      </c>
      <c r="D119" s="13">
        <v>3</v>
      </c>
      <c r="E119" s="7">
        <v>1</v>
      </c>
      <c r="F119" s="7">
        <v>3</v>
      </c>
      <c r="G119" s="8">
        <f>7/9</f>
        <v>0.77777777777777779</v>
      </c>
      <c r="H119" s="8">
        <f>2/9</f>
        <v>0.22222222222222221</v>
      </c>
      <c r="I119" s="8">
        <v>0</v>
      </c>
      <c r="J119" s="7">
        <v>34.869999999999997</v>
      </c>
      <c r="K119" s="7">
        <v>0.42</v>
      </c>
      <c r="L119" s="8">
        <v>11</v>
      </c>
      <c r="M119" s="12">
        <v>1</v>
      </c>
      <c r="N119" s="6">
        <v>6</v>
      </c>
      <c r="O119" s="6">
        <v>4</v>
      </c>
      <c r="P119" s="6">
        <v>5</v>
      </c>
      <c r="Q119" s="6">
        <v>5</v>
      </c>
      <c r="R119" s="6">
        <v>3</v>
      </c>
      <c r="S119" s="7">
        <v>1</v>
      </c>
      <c r="T119" s="6">
        <v>1</v>
      </c>
      <c r="U119" s="7">
        <v>0</v>
      </c>
      <c r="V119" s="6">
        <v>0</v>
      </c>
    </row>
    <row r="120" spans="1:22" ht="15.75">
      <c r="A120" s="11" t="s">
        <v>150</v>
      </c>
      <c r="B120" s="6" t="s">
        <v>14</v>
      </c>
      <c r="C120" s="7">
        <v>2</v>
      </c>
      <c r="D120" s="13">
        <v>3</v>
      </c>
      <c r="E120" s="7">
        <v>3</v>
      </c>
      <c r="F120" s="7">
        <v>2</v>
      </c>
      <c r="G120" s="8">
        <f>12/13</f>
        <v>0.92307692307692313</v>
      </c>
      <c r="H120" s="8">
        <v>0</v>
      </c>
      <c r="I120" s="8">
        <f>1/13</f>
        <v>7.6923076923076927E-2</v>
      </c>
      <c r="J120" s="7">
        <v>33.270000000000003</v>
      </c>
      <c r="K120" s="7">
        <v>0.5</v>
      </c>
      <c r="L120" s="8">
        <v>4.1900000000000004</v>
      </c>
      <c r="M120" s="12" t="s">
        <v>2</v>
      </c>
      <c r="N120" s="6">
        <v>6</v>
      </c>
      <c r="O120" s="6">
        <v>5</v>
      </c>
      <c r="P120" s="6">
        <v>2</v>
      </c>
      <c r="Q120" s="6">
        <v>4</v>
      </c>
      <c r="R120" s="6">
        <v>5</v>
      </c>
      <c r="S120" s="7">
        <v>1</v>
      </c>
      <c r="T120" s="6" t="s">
        <v>10</v>
      </c>
      <c r="U120" s="7">
        <v>0</v>
      </c>
      <c r="V120" s="6">
        <v>0</v>
      </c>
    </row>
    <row r="121" spans="1:22" ht="15.75">
      <c r="A121" s="11" t="s">
        <v>151</v>
      </c>
      <c r="B121" s="6" t="s">
        <v>14</v>
      </c>
      <c r="C121" s="7">
        <v>1</v>
      </c>
      <c r="D121" s="6">
        <v>3</v>
      </c>
      <c r="E121" s="7">
        <v>1</v>
      </c>
      <c r="F121" s="7">
        <v>4</v>
      </c>
      <c r="G121" s="8">
        <v>1</v>
      </c>
      <c r="H121" s="8">
        <v>0</v>
      </c>
      <c r="I121" s="8">
        <v>0</v>
      </c>
      <c r="J121" s="7">
        <v>21.96</v>
      </c>
      <c r="K121" s="7">
        <v>1.23</v>
      </c>
      <c r="L121" s="8">
        <v>41.9</v>
      </c>
      <c r="M121" s="12" t="s">
        <v>2</v>
      </c>
      <c r="N121" s="6">
        <v>5</v>
      </c>
      <c r="O121" s="6" t="s">
        <v>2</v>
      </c>
      <c r="P121" s="6">
        <v>3</v>
      </c>
      <c r="Q121" s="6" t="s">
        <v>2</v>
      </c>
      <c r="R121" s="6">
        <v>5</v>
      </c>
      <c r="S121" s="7">
        <v>1</v>
      </c>
      <c r="T121" s="6">
        <v>1</v>
      </c>
      <c r="U121" s="7">
        <v>0</v>
      </c>
      <c r="V121" s="6">
        <v>0</v>
      </c>
    </row>
    <row r="122" spans="1:22" ht="15.75">
      <c r="A122" s="11" t="s">
        <v>152</v>
      </c>
      <c r="B122" s="6" t="s">
        <v>153</v>
      </c>
      <c r="C122" s="7">
        <v>1</v>
      </c>
      <c r="D122" s="13">
        <v>3</v>
      </c>
      <c r="E122" s="7">
        <v>1</v>
      </c>
      <c r="F122" s="7">
        <v>3</v>
      </c>
      <c r="G122" s="8">
        <f>23/226</f>
        <v>0.10176991150442478</v>
      </c>
      <c r="H122" s="8">
        <f>134/226</f>
        <v>0.59292035398230092</v>
      </c>
      <c r="I122" s="8">
        <f>69/226</f>
        <v>0.30530973451327431</v>
      </c>
      <c r="J122" s="7">
        <v>17.87</v>
      </c>
      <c r="K122" s="7">
        <v>0.2</v>
      </c>
      <c r="L122" s="8">
        <v>0.01</v>
      </c>
      <c r="M122" s="12">
        <v>2</v>
      </c>
      <c r="N122" s="6">
        <v>5</v>
      </c>
      <c r="O122" s="6">
        <v>3</v>
      </c>
      <c r="P122" s="6">
        <v>4</v>
      </c>
      <c r="Q122" s="6" t="s">
        <v>154</v>
      </c>
      <c r="R122" s="6">
        <v>1</v>
      </c>
      <c r="S122" s="7">
        <v>1</v>
      </c>
      <c r="T122" s="6">
        <v>1</v>
      </c>
      <c r="U122" s="7">
        <v>0</v>
      </c>
      <c r="V122" s="6">
        <v>0</v>
      </c>
    </row>
    <row r="123" spans="1:22" ht="15.75">
      <c r="A123" s="11" t="s">
        <v>155</v>
      </c>
      <c r="B123" s="6" t="s">
        <v>156</v>
      </c>
      <c r="C123" s="7">
        <v>1</v>
      </c>
      <c r="D123" s="6">
        <v>2</v>
      </c>
      <c r="E123" s="7">
        <v>1</v>
      </c>
      <c r="F123" s="7">
        <v>3</v>
      </c>
      <c r="G123" s="8">
        <v>0</v>
      </c>
      <c r="H123" s="8">
        <f>2/10</f>
        <v>0.2</v>
      </c>
      <c r="I123" s="8">
        <f>8/10</f>
        <v>0.8</v>
      </c>
      <c r="J123" s="7">
        <v>40.299999999999997</v>
      </c>
      <c r="K123" s="7">
        <v>0.45</v>
      </c>
      <c r="L123" s="8">
        <v>0.35</v>
      </c>
      <c r="M123" s="12">
        <v>2</v>
      </c>
      <c r="N123" s="6">
        <v>7</v>
      </c>
      <c r="O123" s="6">
        <v>6</v>
      </c>
      <c r="P123" s="6">
        <v>4</v>
      </c>
      <c r="Q123" s="6">
        <v>5</v>
      </c>
      <c r="R123" s="6">
        <v>4</v>
      </c>
      <c r="S123" s="7">
        <v>2</v>
      </c>
      <c r="T123" s="6" t="s">
        <v>2</v>
      </c>
      <c r="U123" s="7">
        <v>0</v>
      </c>
      <c r="V123" s="6">
        <v>1</v>
      </c>
    </row>
    <row r="124" spans="1:22" ht="15.75">
      <c r="A124" s="11" t="s">
        <v>157</v>
      </c>
      <c r="B124" s="6" t="s">
        <v>156</v>
      </c>
      <c r="C124" s="7">
        <v>1</v>
      </c>
      <c r="D124" s="6">
        <v>2</v>
      </c>
      <c r="E124" s="7">
        <v>1</v>
      </c>
      <c r="F124" s="7">
        <v>3</v>
      </c>
      <c r="G124" s="8">
        <v>0.375</v>
      </c>
      <c r="H124" s="8">
        <v>0.125</v>
      </c>
      <c r="I124" s="8">
        <f>4/8</f>
        <v>0.5</v>
      </c>
      <c r="J124" s="7">
        <v>29.03</v>
      </c>
      <c r="K124" s="7">
        <v>0.45</v>
      </c>
      <c r="L124" s="8">
        <v>0.34</v>
      </c>
      <c r="M124" s="12">
        <v>2</v>
      </c>
      <c r="N124" s="6">
        <v>7</v>
      </c>
      <c r="O124" s="6">
        <v>6</v>
      </c>
      <c r="P124" s="6">
        <v>4</v>
      </c>
      <c r="Q124" s="6">
        <v>5</v>
      </c>
      <c r="R124" s="6">
        <v>4</v>
      </c>
      <c r="S124" s="7">
        <v>2</v>
      </c>
      <c r="T124" s="6" t="s">
        <v>2</v>
      </c>
      <c r="U124" s="7">
        <v>0</v>
      </c>
      <c r="V124" s="6">
        <v>1</v>
      </c>
    </row>
    <row r="125" spans="1:22" ht="15.75">
      <c r="A125" s="11" t="s">
        <v>158</v>
      </c>
      <c r="B125" s="6" t="s">
        <v>25</v>
      </c>
      <c r="C125" s="7">
        <v>1</v>
      </c>
      <c r="D125" s="13">
        <v>1</v>
      </c>
      <c r="E125" s="7">
        <v>1</v>
      </c>
      <c r="F125" s="7">
        <v>4</v>
      </c>
      <c r="G125" s="8">
        <f>50/64</f>
        <v>0.78125</v>
      </c>
      <c r="H125" s="8">
        <f>12/64</f>
        <v>0.1875</v>
      </c>
      <c r="I125" s="8">
        <f>2/64</f>
        <v>3.125E-2</v>
      </c>
      <c r="J125" s="7">
        <v>16.59</v>
      </c>
      <c r="K125" s="7">
        <v>0.9</v>
      </c>
      <c r="L125" s="8">
        <v>0.54</v>
      </c>
      <c r="M125" s="12">
        <v>1</v>
      </c>
      <c r="N125" s="6">
        <v>7</v>
      </c>
      <c r="O125" s="6">
        <v>6</v>
      </c>
      <c r="P125" s="6">
        <v>3</v>
      </c>
      <c r="Q125" s="6">
        <v>3</v>
      </c>
      <c r="R125" s="6">
        <v>4</v>
      </c>
      <c r="S125" s="7">
        <v>2</v>
      </c>
      <c r="T125" s="6" t="s">
        <v>10</v>
      </c>
      <c r="U125" s="7">
        <v>0</v>
      </c>
      <c r="V125" s="6">
        <v>1</v>
      </c>
    </row>
    <row r="126" spans="1:22" ht="15.75">
      <c r="A126" s="11" t="s">
        <v>159</v>
      </c>
      <c r="B126" s="6" t="s">
        <v>9</v>
      </c>
      <c r="C126" s="7">
        <v>1</v>
      </c>
      <c r="D126" s="6">
        <v>2</v>
      </c>
      <c r="E126" s="7">
        <v>1</v>
      </c>
      <c r="F126" s="7">
        <v>3</v>
      </c>
      <c r="G126" s="8">
        <f>9/20</f>
        <v>0.45</v>
      </c>
      <c r="H126" s="8">
        <f>3/20</f>
        <v>0.15</v>
      </c>
      <c r="I126" s="8">
        <f>8/20</f>
        <v>0.4</v>
      </c>
      <c r="J126" s="7">
        <v>19.7</v>
      </c>
      <c r="K126" s="7">
        <v>0.25</v>
      </c>
      <c r="L126" s="8">
        <v>0.53</v>
      </c>
      <c r="M126" s="12">
        <v>2</v>
      </c>
      <c r="N126" s="6">
        <v>9</v>
      </c>
      <c r="O126" s="6">
        <v>3</v>
      </c>
      <c r="P126" s="6">
        <v>2</v>
      </c>
      <c r="Q126" s="6" t="s">
        <v>160</v>
      </c>
      <c r="R126" s="6">
        <v>7</v>
      </c>
      <c r="S126" s="7">
        <v>2</v>
      </c>
      <c r="T126" s="6" t="s">
        <v>2</v>
      </c>
      <c r="U126" s="7">
        <v>0</v>
      </c>
      <c r="V126" s="6" t="s">
        <v>2</v>
      </c>
    </row>
    <row r="127" spans="1:22" ht="15.75">
      <c r="A127" s="11" t="s">
        <v>161</v>
      </c>
      <c r="B127" s="6" t="s">
        <v>9</v>
      </c>
      <c r="C127" s="7">
        <v>1</v>
      </c>
      <c r="D127" s="6">
        <v>2</v>
      </c>
      <c r="E127" s="7">
        <v>1</v>
      </c>
      <c r="F127" s="7">
        <v>3</v>
      </c>
      <c r="G127" s="8">
        <f>18/45</f>
        <v>0.4</v>
      </c>
      <c r="H127" s="8">
        <f>20/45</f>
        <v>0.44444444444444442</v>
      </c>
      <c r="I127" s="8">
        <f>7/45</f>
        <v>0.15555555555555556</v>
      </c>
      <c r="J127" s="7">
        <v>38.450000000000003</v>
      </c>
      <c r="K127" s="7">
        <v>0.45</v>
      </c>
      <c r="L127" s="8">
        <v>0.75</v>
      </c>
      <c r="M127" s="12">
        <v>1</v>
      </c>
      <c r="N127" s="6">
        <v>3</v>
      </c>
      <c r="O127" s="6">
        <v>3</v>
      </c>
      <c r="P127" s="6">
        <v>8</v>
      </c>
      <c r="Q127" s="6">
        <v>8</v>
      </c>
      <c r="R127" s="6">
        <v>5</v>
      </c>
      <c r="S127" s="7">
        <v>2</v>
      </c>
      <c r="T127" s="6">
        <v>1</v>
      </c>
      <c r="U127" s="7">
        <v>0</v>
      </c>
      <c r="V127" s="6">
        <v>1</v>
      </c>
    </row>
    <row r="128" spans="1:22">
      <c r="A128" s="10" t="s">
        <v>162</v>
      </c>
      <c r="B128" s="6" t="s">
        <v>25</v>
      </c>
      <c r="C128" s="7">
        <v>1</v>
      </c>
      <c r="D128" s="6">
        <v>1</v>
      </c>
      <c r="E128" s="7">
        <v>1</v>
      </c>
      <c r="F128" s="7">
        <v>4</v>
      </c>
      <c r="G128" s="8">
        <f>18/40</f>
        <v>0.45</v>
      </c>
      <c r="H128" s="8">
        <f>14/40</f>
        <v>0.35</v>
      </c>
      <c r="I128" s="8">
        <f>8/40</f>
        <v>0.2</v>
      </c>
      <c r="J128" s="7">
        <v>48.73</v>
      </c>
      <c r="K128" s="7">
        <v>0.75</v>
      </c>
      <c r="L128" s="8">
        <v>1.1499999999999999</v>
      </c>
      <c r="M128" s="12">
        <v>1</v>
      </c>
      <c r="N128" s="6">
        <v>6</v>
      </c>
      <c r="O128" s="6">
        <v>6</v>
      </c>
      <c r="P128" s="6">
        <v>4</v>
      </c>
      <c r="Q128" s="6">
        <v>3</v>
      </c>
      <c r="R128" s="6">
        <v>7</v>
      </c>
      <c r="S128" s="7">
        <v>2</v>
      </c>
      <c r="T128" s="6">
        <v>1</v>
      </c>
      <c r="U128" s="7">
        <v>0</v>
      </c>
      <c r="V128" s="6">
        <v>1</v>
      </c>
    </row>
    <row r="129" spans="1:22" ht="15.75">
      <c r="A129" s="11" t="s">
        <v>163</v>
      </c>
      <c r="B129" s="6" t="s">
        <v>75</v>
      </c>
      <c r="C129" s="7">
        <v>1</v>
      </c>
      <c r="D129" s="6">
        <v>2</v>
      </c>
      <c r="E129" s="7">
        <v>1</v>
      </c>
      <c r="F129" s="7">
        <v>1</v>
      </c>
      <c r="G129" s="8">
        <v>1</v>
      </c>
      <c r="H129" s="8">
        <v>0</v>
      </c>
      <c r="I129" s="8">
        <v>0</v>
      </c>
      <c r="J129" s="7">
        <v>65.569999999999993</v>
      </c>
      <c r="K129" s="7">
        <v>0.27</v>
      </c>
      <c r="L129" s="8" t="s">
        <v>2</v>
      </c>
      <c r="M129" s="12" t="s">
        <v>2</v>
      </c>
      <c r="N129" s="6">
        <v>4</v>
      </c>
      <c r="O129" s="6">
        <v>5</v>
      </c>
      <c r="P129" s="6">
        <v>3</v>
      </c>
      <c r="Q129" s="6">
        <v>3</v>
      </c>
      <c r="R129" s="6">
        <v>3</v>
      </c>
      <c r="S129" s="7">
        <v>2</v>
      </c>
      <c r="T129" s="6" t="s">
        <v>2</v>
      </c>
      <c r="U129" s="7">
        <v>0</v>
      </c>
      <c r="V129" s="6" t="s">
        <v>2</v>
      </c>
    </row>
    <row r="130" spans="1:22" ht="15.75">
      <c r="A130" s="11" t="s">
        <v>164</v>
      </c>
      <c r="B130" s="6" t="s">
        <v>38</v>
      </c>
      <c r="C130" s="7">
        <v>1</v>
      </c>
      <c r="D130" s="6">
        <v>1</v>
      </c>
      <c r="E130" s="7">
        <v>2</v>
      </c>
      <c r="F130" s="7">
        <v>6</v>
      </c>
      <c r="G130" s="8">
        <f>4/8</f>
        <v>0.5</v>
      </c>
      <c r="H130" s="8">
        <f>1/8</f>
        <v>0.125</v>
      </c>
      <c r="I130" s="8">
        <f>3/8</f>
        <v>0.375</v>
      </c>
      <c r="J130" s="7">
        <v>25.92</v>
      </c>
      <c r="K130" s="7">
        <v>0.47</v>
      </c>
      <c r="L130" s="8">
        <v>1.6</v>
      </c>
      <c r="M130" s="12">
        <v>2</v>
      </c>
      <c r="N130" s="6">
        <v>5</v>
      </c>
      <c r="O130" s="6">
        <v>4</v>
      </c>
      <c r="P130" s="6">
        <v>2</v>
      </c>
      <c r="Q130" s="6">
        <v>3</v>
      </c>
      <c r="R130" s="6">
        <v>4</v>
      </c>
      <c r="S130" s="7">
        <v>2</v>
      </c>
      <c r="T130" s="6" t="s">
        <v>18</v>
      </c>
      <c r="U130" s="7">
        <v>0</v>
      </c>
      <c r="V130" s="6">
        <v>1</v>
      </c>
    </row>
    <row r="131" spans="1:22" ht="15.75">
      <c r="A131" s="14" t="s">
        <v>398</v>
      </c>
      <c r="B131" s="6" t="s">
        <v>14</v>
      </c>
      <c r="C131" s="7">
        <v>3</v>
      </c>
      <c r="D131" s="13">
        <v>3</v>
      </c>
      <c r="E131" s="7">
        <v>4</v>
      </c>
      <c r="F131" s="7">
        <v>1</v>
      </c>
      <c r="G131" s="8">
        <v>1</v>
      </c>
      <c r="H131" s="8">
        <v>0</v>
      </c>
      <c r="I131" s="8">
        <v>0</v>
      </c>
      <c r="J131" s="7">
        <v>7.4</v>
      </c>
      <c r="K131" s="7">
        <v>1</v>
      </c>
      <c r="L131" s="8">
        <v>7.7</v>
      </c>
      <c r="M131" s="12" t="s">
        <v>2</v>
      </c>
      <c r="N131" s="6">
        <v>6</v>
      </c>
      <c r="O131" s="6" t="s">
        <v>2</v>
      </c>
      <c r="P131" s="6">
        <v>3</v>
      </c>
      <c r="Q131" s="6" t="s">
        <v>2</v>
      </c>
      <c r="R131" s="6">
        <v>6</v>
      </c>
      <c r="S131" s="7">
        <v>1</v>
      </c>
      <c r="T131" s="6" t="s">
        <v>42</v>
      </c>
      <c r="U131" s="7">
        <v>0</v>
      </c>
      <c r="V131" s="6">
        <v>0</v>
      </c>
    </row>
    <row r="132" spans="1:22" ht="15.75">
      <c r="A132" s="10" t="s">
        <v>382</v>
      </c>
      <c r="B132" s="6" t="s">
        <v>14</v>
      </c>
      <c r="C132" s="7">
        <v>1</v>
      </c>
      <c r="D132" s="13">
        <v>3</v>
      </c>
      <c r="E132" s="7">
        <v>1</v>
      </c>
      <c r="F132" s="7">
        <v>1</v>
      </c>
      <c r="G132" s="8">
        <f>16/24</f>
        <v>0.66666666666666663</v>
      </c>
      <c r="H132" s="8">
        <f>6/24</f>
        <v>0.25</v>
      </c>
      <c r="I132" s="8">
        <f>2/24</f>
        <v>8.3333333333333329E-2</v>
      </c>
      <c r="J132" s="7">
        <v>29.25</v>
      </c>
      <c r="K132" s="7">
        <v>0.5</v>
      </c>
      <c r="L132" s="8">
        <v>2.2000000000000002</v>
      </c>
      <c r="M132" s="12" t="s">
        <v>2</v>
      </c>
      <c r="N132" s="6">
        <v>6</v>
      </c>
      <c r="O132" s="6">
        <v>5</v>
      </c>
      <c r="P132" s="6">
        <v>3</v>
      </c>
      <c r="Q132" s="6">
        <v>6</v>
      </c>
      <c r="R132" s="6">
        <v>6</v>
      </c>
      <c r="S132" s="7">
        <v>1</v>
      </c>
      <c r="T132" s="6">
        <v>1</v>
      </c>
      <c r="U132" s="7">
        <v>0</v>
      </c>
      <c r="V132" s="6">
        <v>0</v>
      </c>
    </row>
    <row r="133" spans="1:22" ht="16.5" customHeight="1">
      <c r="A133" s="11" t="s">
        <v>165</v>
      </c>
      <c r="B133" s="6" t="s">
        <v>14</v>
      </c>
      <c r="C133" s="7">
        <v>2</v>
      </c>
      <c r="D133" s="13">
        <v>3</v>
      </c>
      <c r="E133" s="7">
        <v>3</v>
      </c>
      <c r="F133" s="7">
        <v>1</v>
      </c>
      <c r="G133" s="8">
        <f>146/181</f>
        <v>0.8066298342541437</v>
      </c>
      <c r="H133" s="8">
        <f>27/181</f>
        <v>0.14917127071823205</v>
      </c>
      <c r="I133" s="8">
        <f>8/181</f>
        <v>4.4198895027624308E-2</v>
      </c>
      <c r="J133" s="7">
        <v>25.74</v>
      </c>
      <c r="K133" s="7">
        <v>0.2</v>
      </c>
      <c r="L133" s="8">
        <v>1.93</v>
      </c>
      <c r="M133" s="12">
        <v>2</v>
      </c>
      <c r="N133" s="6">
        <v>5</v>
      </c>
      <c r="O133" s="6">
        <v>5</v>
      </c>
      <c r="P133" s="6">
        <v>6</v>
      </c>
      <c r="Q133" s="6">
        <v>6</v>
      </c>
      <c r="R133" s="6">
        <v>7</v>
      </c>
      <c r="S133" s="7">
        <v>1</v>
      </c>
      <c r="T133" s="6">
        <v>1</v>
      </c>
      <c r="U133" s="7">
        <v>0</v>
      </c>
      <c r="V133" s="6">
        <v>0</v>
      </c>
    </row>
    <row r="134" spans="1:22" ht="15.75">
      <c r="A134" s="14" t="s">
        <v>166</v>
      </c>
      <c r="B134" s="15" t="s">
        <v>14</v>
      </c>
      <c r="C134" s="7">
        <v>1</v>
      </c>
      <c r="D134" s="13">
        <v>3</v>
      </c>
      <c r="E134" s="7">
        <v>1</v>
      </c>
      <c r="F134" s="15" t="s">
        <v>10</v>
      </c>
      <c r="G134" s="16">
        <f>2/6</f>
        <v>0.33333333333333331</v>
      </c>
      <c r="H134" s="16">
        <f>4/6</f>
        <v>0.66666666666666663</v>
      </c>
      <c r="I134" s="16">
        <v>0</v>
      </c>
      <c r="J134" s="7">
        <v>25.3</v>
      </c>
      <c r="K134" s="7">
        <v>0.35</v>
      </c>
      <c r="L134" s="8">
        <v>3.8</v>
      </c>
      <c r="M134" s="12" t="s">
        <v>2</v>
      </c>
      <c r="N134" s="15">
        <v>4</v>
      </c>
      <c r="O134" s="6">
        <v>5</v>
      </c>
      <c r="P134" s="15">
        <v>2</v>
      </c>
      <c r="Q134" s="6">
        <v>4</v>
      </c>
      <c r="R134" s="15">
        <v>2</v>
      </c>
      <c r="S134" s="7">
        <v>1</v>
      </c>
      <c r="T134" s="15" t="s">
        <v>2</v>
      </c>
      <c r="U134" s="7">
        <v>0</v>
      </c>
      <c r="V134" s="15" t="s">
        <v>2</v>
      </c>
    </row>
    <row r="135" spans="1:22" ht="15.75">
      <c r="A135" s="11" t="s">
        <v>167</v>
      </c>
      <c r="B135" s="6" t="s">
        <v>141</v>
      </c>
      <c r="C135" s="7">
        <v>2</v>
      </c>
      <c r="D135" s="6">
        <v>2</v>
      </c>
      <c r="E135" s="7">
        <v>3</v>
      </c>
      <c r="F135" s="7">
        <v>7</v>
      </c>
      <c r="G135" s="8">
        <f>169/199</f>
        <v>0.84924623115577891</v>
      </c>
      <c r="H135" s="8">
        <f>13/199</f>
        <v>6.5326633165829151E-2</v>
      </c>
      <c r="I135" s="8">
        <f>17/199</f>
        <v>8.5427135678391955E-2</v>
      </c>
      <c r="J135" s="7">
        <v>23.61</v>
      </c>
      <c r="K135" s="7">
        <v>0.74</v>
      </c>
      <c r="L135" s="8">
        <v>1.2</v>
      </c>
      <c r="M135" s="12">
        <v>1</v>
      </c>
      <c r="N135" s="6">
        <v>6</v>
      </c>
      <c r="O135" s="6">
        <v>3</v>
      </c>
      <c r="P135" s="6">
        <v>3</v>
      </c>
      <c r="Q135" s="6">
        <v>3</v>
      </c>
      <c r="R135" s="6">
        <v>2</v>
      </c>
      <c r="S135" s="7">
        <v>2</v>
      </c>
      <c r="T135" s="6">
        <v>0</v>
      </c>
      <c r="U135" s="7">
        <v>1</v>
      </c>
      <c r="V135" s="6">
        <v>1</v>
      </c>
    </row>
    <row r="136" spans="1:22" ht="15.75">
      <c r="A136" s="11" t="s">
        <v>168</v>
      </c>
      <c r="B136" s="6" t="s">
        <v>169</v>
      </c>
      <c r="C136" s="7">
        <v>1</v>
      </c>
      <c r="D136" s="6">
        <v>2</v>
      </c>
      <c r="E136" s="7">
        <v>1</v>
      </c>
      <c r="F136" s="7">
        <v>6</v>
      </c>
      <c r="G136" s="19" t="s">
        <v>2</v>
      </c>
      <c r="H136" s="19" t="s">
        <v>2</v>
      </c>
      <c r="I136" s="19" t="s">
        <v>2</v>
      </c>
      <c r="J136" s="7">
        <v>24.21</v>
      </c>
      <c r="K136" s="7">
        <v>0.3</v>
      </c>
      <c r="L136" s="8">
        <v>0.5</v>
      </c>
      <c r="M136" s="12">
        <v>2</v>
      </c>
      <c r="N136" s="6">
        <v>4</v>
      </c>
      <c r="O136" s="6">
        <v>5</v>
      </c>
      <c r="P136" s="6">
        <v>5</v>
      </c>
      <c r="Q136" s="6">
        <v>5</v>
      </c>
      <c r="R136" s="6">
        <v>4</v>
      </c>
      <c r="S136" s="7">
        <v>2</v>
      </c>
      <c r="T136" s="20" t="s">
        <v>2</v>
      </c>
      <c r="U136" s="7">
        <v>0</v>
      </c>
      <c r="V136" s="20" t="s">
        <v>2</v>
      </c>
    </row>
    <row r="137" spans="1:22" ht="15.75">
      <c r="A137" s="25" t="s">
        <v>383</v>
      </c>
      <c r="B137" s="26" t="s">
        <v>38</v>
      </c>
      <c r="C137" s="7">
        <v>1</v>
      </c>
      <c r="D137" s="6">
        <v>2</v>
      </c>
      <c r="E137" s="7">
        <v>1</v>
      </c>
      <c r="F137" s="7" t="s">
        <v>2</v>
      </c>
      <c r="G137" s="27" t="s">
        <v>2</v>
      </c>
      <c r="H137" s="27" t="s">
        <v>2</v>
      </c>
      <c r="I137" s="27" t="s">
        <v>2</v>
      </c>
      <c r="J137" s="7"/>
      <c r="K137" s="7">
        <v>0.25</v>
      </c>
      <c r="L137" s="8" t="s">
        <v>2</v>
      </c>
      <c r="M137" s="12" t="s">
        <v>2</v>
      </c>
      <c r="N137" s="26">
        <v>5</v>
      </c>
      <c r="O137" s="6">
        <v>3</v>
      </c>
      <c r="P137" s="26">
        <v>1</v>
      </c>
      <c r="Q137" s="6">
        <v>4</v>
      </c>
      <c r="R137" s="26">
        <v>2</v>
      </c>
      <c r="S137" s="7">
        <v>2</v>
      </c>
      <c r="T137" s="26" t="s">
        <v>2</v>
      </c>
      <c r="U137" s="7">
        <v>0</v>
      </c>
      <c r="V137" s="26" t="s">
        <v>2</v>
      </c>
    </row>
    <row r="138" spans="1:22" ht="15.75">
      <c r="A138" s="11" t="s">
        <v>170</v>
      </c>
      <c r="B138" s="6" t="s">
        <v>1</v>
      </c>
      <c r="C138" s="6">
        <v>2</v>
      </c>
      <c r="D138" s="6">
        <v>1</v>
      </c>
      <c r="E138" s="7">
        <v>3</v>
      </c>
      <c r="F138" s="7">
        <v>1</v>
      </c>
      <c r="G138" s="19">
        <f>4/14</f>
        <v>0.2857142857142857</v>
      </c>
      <c r="H138" s="19">
        <f>5/14</f>
        <v>0.35714285714285715</v>
      </c>
      <c r="I138" s="19">
        <f>5/14</f>
        <v>0.35714285714285715</v>
      </c>
      <c r="J138" s="7">
        <v>22.61</v>
      </c>
      <c r="K138" s="7">
        <v>0.9</v>
      </c>
      <c r="L138" s="8">
        <v>5.7</v>
      </c>
      <c r="M138" s="12">
        <v>3</v>
      </c>
      <c r="N138" s="6">
        <v>3</v>
      </c>
      <c r="O138" s="6">
        <v>3</v>
      </c>
      <c r="P138" s="6">
        <v>4</v>
      </c>
      <c r="Q138" s="6">
        <v>8</v>
      </c>
      <c r="R138" s="6">
        <v>8</v>
      </c>
      <c r="S138" s="7">
        <v>2</v>
      </c>
      <c r="T138" s="20" t="s">
        <v>2</v>
      </c>
      <c r="U138" s="7">
        <v>0</v>
      </c>
      <c r="V138" s="20" t="s">
        <v>2</v>
      </c>
    </row>
    <row r="139" spans="1:22" ht="15.75">
      <c r="A139" s="28" t="s">
        <v>381</v>
      </c>
      <c r="B139" s="29" t="s">
        <v>25</v>
      </c>
      <c r="C139" s="7">
        <v>1</v>
      </c>
      <c r="D139" s="6">
        <v>2</v>
      </c>
      <c r="E139" s="7">
        <v>1</v>
      </c>
      <c r="F139" s="29">
        <v>4</v>
      </c>
      <c r="G139" s="30">
        <v>0</v>
      </c>
      <c r="H139" s="30">
        <f>1/5</f>
        <v>0.2</v>
      </c>
      <c r="I139" s="30">
        <f>4/5</f>
        <v>0.8</v>
      </c>
      <c r="J139" s="7">
        <v>22.76</v>
      </c>
      <c r="K139" s="7">
        <v>1</v>
      </c>
      <c r="L139" s="8">
        <v>0.36299999999999999</v>
      </c>
      <c r="M139" s="12">
        <v>1</v>
      </c>
      <c r="N139" s="29">
        <v>5</v>
      </c>
      <c r="O139" s="6">
        <v>5</v>
      </c>
      <c r="P139" s="29">
        <v>6</v>
      </c>
      <c r="Q139" s="6">
        <v>5</v>
      </c>
      <c r="R139" s="29">
        <v>4</v>
      </c>
      <c r="S139" s="7">
        <v>2</v>
      </c>
      <c r="T139" s="29" t="s">
        <v>2</v>
      </c>
      <c r="U139" s="7">
        <v>0</v>
      </c>
      <c r="V139" s="29" t="s">
        <v>2</v>
      </c>
    </row>
    <row r="140" spans="1:22" ht="15.75">
      <c r="A140" s="21" t="s">
        <v>171</v>
      </c>
      <c r="B140" s="7" t="s">
        <v>25</v>
      </c>
      <c r="C140" s="7">
        <v>1</v>
      </c>
      <c r="D140" s="6">
        <v>2</v>
      </c>
      <c r="E140" s="7">
        <v>1</v>
      </c>
      <c r="F140" s="7">
        <v>3</v>
      </c>
      <c r="G140" s="23" t="s">
        <v>2</v>
      </c>
      <c r="H140" s="23" t="s">
        <v>2</v>
      </c>
      <c r="I140" s="23" t="s">
        <v>2</v>
      </c>
      <c r="J140" s="7">
        <v>23.33</v>
      </c>
      <c r="K140" s="7">
        <v>0.3</v>
      </c>
      <c r="L140" s="8">
        <v>0.14499999999999999</v>
      </c>
      <c r="M140" s="12">
        <v>1</v>
      </c>
      <c r="N140" s="7">
        <v>5</v>
      </c>
      <c r="O140" s="6">
        <v>5</v>
      </c>
      <c r="P140" s="7">
        <v>4</v>
      </c>
      <c r="Q140" s="6">
        <v>6</v>
      </c>
      <c r="R140" s="7">
        <v>8</v>
      </c>
      <c r="S140" s="7">
        <v>2</v>
      </c>
      <c r="T140" s="7" t="s">
        <v>2</v>
      </c>
      <c r="U140" s="7">
        <v>0</v>
      </c>
      <c r="V140" s="7" t="s">
        <v>2</v>
      </c>
    </row>
    <row r="141" spans="1:22" ht="15.75">
      <c r="A141" s="11" t="s">
        <v>172</v>
      </c>
      <c r="B141" s="6" t="s">
        <v>141</v>
      </c>
      <c r="C141" s="7">
        <v>2</v>
      </c>
      <c r="D141" s="6">
        <v>1</v>
      </c>
      <c r="E141" s="7">
        <v>3</v>
      </c>
      <c r="F141" s="7">
        <v>7</v>
      </c>
      <c r="G141" s="8">
        <f>104/162</f>
        <v>0.64197530864197527</v>
      </c>
      <c r="H141" s="8">
        <f>34/162</f>
        <v>0.20987654320987653</v>
      </c>
      <c r="I141" s="8">
        <f>24/162</f>
        <v>0.14814814814814814</v>
      </c>
      <c r="J141" s="7">
        <v>27.6</v>
      </c>
      <c r="K141" s="7">
        <v>0.6</v>
      </c>
      <c r="L141" s="8">
        <v>1.93</v>
      </c>
      <c r="M141" s="12">
        <v>1</v>
      </c>
      <c r="N141" s="6">
        <v>5</v>
      </c>
      <c r="O141" s="6">
        <v>4</v>
      </c>
      <c r="P141" s="6">
        <v>6</v>
      </c>
      <c r="Q141" s="6">
        <v>7</v>
      </c>
      <c r="R141" s="6">
        <v>7</v>
      </c>
      <c r="S141" s="7">
        <v>2</v>
      </c>
      <c r="T141" s="6">
        <v>1</v>
      </c>
      <c r="U141" s="7">
        <v>1</v>
      </c>
      <c r="V141" s="6">
        <v>1</v>
      </c>
    </row>
    <row r="142" spans="1:22" ht="15.75">
      <c r="A142" s="11" t="s">
        <v>173</v>
      </c>
      <c r="B142" s="6" t="s">
        <v>141</v>
      </c>
      <c r="C142" s="7">
        <v>1</v>
      </c>
      <c r="D142" s="6">
        <v>2</v>
      </c>
      <c r="E142" s="7">
        <v>1</v>
      </c>
      <c r="F142" s="7">
        <v>3</v>
      </c>
      <c r="G142" s="8">
        <v>0</v>
      </c>
      <c r="H142" s="8">
        <v>1</v>
      </c>
      <c r="I142" s="8">
        <v>0</v>
      </c>
      <c r="J142" s="7">
        <v>20.13</v>
      </c>
      <c r="K142" s="7">
        <v>0.6</v>
      </c>
      <c r="L142" s="8">
        <v>4</v>
      </c>
      <c r="M142" s="12">
        <v>1</v>
      </c>
      <c r="N142" s="6">
        <v>5</v>
      </c>
      <c r="O142" s="6">
        <v>2</v>
      </c>
      <c r="P142" s="6">
        <v>2</v>
      </c>
      <c r="Q142" s="6">
        <v>7</v>
      </c>
      <c r="R142" s="6">
        <v>5</v>
      </c>
      <c r="S142" s="7">
        <v>2</v>
      </c>
      <c r="T142" s="6">
        <v>1</v>
      </c>
      <c r="U142" s="7">
        <v>1</v>
      </c>
      <c r="V142" s="6">
        <v>1</v>
      </c>
    </row>
    <row r="143" spans="1:22" ht="15.75">
      <c r="A143" s="11" t="s">
        <v>174</v>
      </c>
      <c r="B143" s="6" t="s">
        <v>141</v>
      </c>
      <c r="C143" s="7">
        <v>2</v>
      </c>
      <c r="D143" s="6">
        <v>2</v>
      </c>
      <c r="E143" s="7">
        <v>3</v>
      </c>
      <c r="F143" s="7">
        <v>5</v>
      </c>
      <c r="G143" s="8">
        <f>8/18</f>
        <v>0.44444444444444442</v>
      </c>
      <c r="H143" s="8">
        <f>4/18</f>
        <v>0.22222222222222221</v>
      </c>
      <c r="I143" s="8">
        <f>6/18</f>
        <v>0.33333333333333331</v>
      </c>
      <c r="J143" s="7">
        <v>24.32</v>
      </c>
      <c r="K143" s="7">
        <v>0.8</v>
      </c>
      <c r="L143" s="8">
        <v>2</v>
      </c>
      <c r="M143" s="12">
        <v>1</v>
      </c>
      <c r="N143" s="6">
        <v>4</v>
      </c>
      <c r="O143" s="6">
        <v>4</v>
      </c>
      <c r="P143" s="6">
        <v>3</v>
      </c>
      <c r="Q143" s="6">
        <v>7</v>
      </c>
      <c r="R143" s="6">
        <v>3</v>
      </c>
      <c r="S143" s="7">
        <v>2</v>
      </c>
      <c r="T143" s="6" t="s">
        <v>2</v>
      </c>
      <c r="U143" s="7">
        <v>1</v>
      </c>
      <c r="V143" s="6" t="s">
        <v>2</v>
      </c>
    </row>
    <row r="144" spans="1:22" ht="15.75">
      <c r="A144" s="11" t="s">
        <v>399</v>
      </c>
      <c r="B144" s="6" t="s">
        <v>141</v>
      </c>
      <c r="C144" s="7">
        <v>2</v>
      </c>
      <c r="D144" s="6">
        <v>2</v>
      </c>
      <c r="E144" s="7">
        <v>5</v>
      </c>
      <c r="F144" s="7">
        <v>1</v>
      </c>
      <c r="G144" s="8">
        <v>1</v>
      </c>
      <c r="H144" s="8">
        <v>0</v>
      </c>
      <c r="I144" s="8">
        <v>0</v>
      </c>
      <c r="J144" s="7" t="s">
        <v>2</v>
      </c>
      <c r="K144" s="7">
        <v>0.75</v>
      </c>
      <c r="L144" s="8">
        <v>0.6</v>
      </c>
      <c r="M144" s="12" t="s">
        <v>2</v>
      </c>
      <c r="N144" s="6">
        <v>6</v>
      </c>
      <c r="O144" s="6">
        <v>6</v>
      </c>
      <c r="P144" s="6">
        <v>3</v>
      </c>
      <c r="Q144" s="6">
        <v>4</v>
      </c>
      <c r="R144" s="6">
        <v>4</v>
      </c>
      <c r="S144" s="7">
        <v>2</v>
      </c>
      <c r="T144" s="6" t="s">
        <v>10</v>
      </c>
      <c r="U144" s="7">
        <v>0</v>
      </c>
      <c r="V144" s="6">
        <v>1</v>
      </c>
    </row>
    <row r="145" spans="1:22" ht="15.75">
      <c r="A145" s="11" t="s">
        <v>175</v>
      </c>
      <c r="B145" s="6" t="s">
        <v>9</v>
      </c>
      <c r="C145" s="7">
        <v>2</v>
      </c>
      <c r="D145" s="6">
        <v>2</v>
      </c>
      <c r="E145" s="7">
        <v>3</v>
      </c>
      <c r="F145" s="7">
        <v>1</v>
      </c>
      <c r="G145" s="8">
        <f>38/53</f>
        <v>0.71698113207547165</v>
      </c>
      <c r="H145" s="8">
        <f>10/53</f>
        <v>0.18867924528301888</v>
      </c>
      <c r="I145" s="8">
        <f>5/53</f>
        <v>9.4339622641509441E-2</v>
      </c>
      <c r="J145" s="7">
        <v>41.44</v>
      </c>
      <c r="K145" s="7">
        <v>0.53</v>
      </c>
      <c r="L145" s="8">
        <v>0.28000000000000003</v>
      </c>
      <c r="M145" s="12">
        <v>2</v>
      </c>
      <c r="N145" s="6">
        <v>6</v>
      </c>
      <c r="O145" s="6">
        <v>7</v>
      </c>
      <c r="P145" s="6">
        <v>5</v>
      </c>
      <c r="Q145" s="6">
        <v>4</v>
      </c>
      <c r="R145" s="6">
        <v>10</v>
      </c>
      <c r="S145" s="7">
        <v>2</v>
      </c>
      <c r="T145" s="6">
        <v>1</v>
      </c>
      <c r="U145" s="7">
        <v>0</v>
      </c>
      <c r="V145" s="6">
        <v>1</v>
      </c>
    </row>
    <row r="146" spans="1:22" ht="15.75">
      <c r="A146" s="11" t="s">
        <v>176</v>
      </c>
      <c r="B146" s="6" t="s">
        <v>119</v>
      </c>
      <c r="C146" s="7">
        <v>1</v>
      </c>
      <c r="D146" s="6">
        <v>2</v>
      </c>
      <c r="E146" s="7">
        <v>1</v>
      </c>
      <c r="F146" s="7">
        <v>3</v>
      </c>
      <c r="G146" s="8">
        <f>12/27</f>
        <v>0.44444444444444442</v>
      </c>
      <c r="H146" s="8">
        <f>6/27</f>
        <v>0.22222222222222221</v>
      </c>
      <c r="I146" s="8">
        <f>9/27</f>
        <v>0.33333333333333331</v>
      </c>
      <c r="J146" s="7">
        <v>48.01</v>
      </c>
      <c r="K146" s="7">
        <v>0.5</v>
      </c>
      <c r="L146" s="8">
        <v>2.4</v>
      </c>
      <c r="M146" s="12">
        <v>1</v>
      </c>
      <c r="N146" s="6">
        <v>6</v>
      </c>
      <c r="O146" s="6">
        <v>2</v>
      </c>
      <c r="P146" s="6">
        <v>5</v>
      </c>
      <c r="Q146" s="6">
        <v>9</v>
      </c>
      <c r="R146" s="6">
        <v>8</v>
      </c>
      <c r="S146" s="7">
        <v>2</v>
      </c>
      <c r="T146" s="6">
        <v>1</v>
      </c>
      <c r="U146" s="7">
        <v>0</v>
      </c>
      <c r="V146" s="6">
        <v>0</v>
      </c>
    </row>
    <row r="147" spans="1:22" ht="15.75">
      <c r="A147" s="11" t="s">
        <v>177</v>
      </c>
      <c r="B147" s="6" t="s">
        <v>119</v>
      </c>
      <c r="C147" s="7">
        <v>3</v>
      </c>
      <c r="D147" s="6">
        <v>2</v>
      </c>
      <c r="E147" s="7">
        <v>4</v>
      </c>
      <c r="F147" s="7">
        <v>5</v>
      </c>
      <c r="G147" s="8">
        <v>1</v>
      </c>
      <c r="H147" s="8">
        <v>0</v>
      </c>
      <c r="I147" s="8">
        <v>0</v>
      </c>
      <c r="J147" s="7">
        <v>25.68</v>
      </c>
      <c r="K147" s="7">
        <v>0.35</v>
      </c>
      <c r="L147" s="8">
        <v>6.8</v>
      </c>
      <c r="M147" s="12">
        <v>1</v>
      </c>
      <c r="N147" s="6">
        <v>4</v>
      </c>
      <c r="O147" s="6">
        <v>3</v>
      </c>
      <c r="P147" s="6">
        <v>2</v>
      </c>
      <c r="Q147" s="6">
        <v>4</v>
      </c>
      <c r="R147" s="6">
        <v>7</v>
      </c>
      <c r="S147" s="7">
        <v>2</v>
      </c>
      <c r="T147" s="6" t="s">
        <v>42</v>
      </c>
      <c r="U147" s="7">
        <v>0</v>
      </c>
      <c r="V147" s="6">
        <v>0</v>
      </c>
    </row>
    <row r="148" spans="1:22" ht="15.75">
      <c r="A148" s="11" t="s">
        <v>178</v>
      </c>
      <c r="B148" s="6" t="s">
        <v>25</v>
      </c>
      <c r="C148" s="7">
        <v>2</v>
      </c>
      <c r="D148" s="6">
        <v>1</v>
      </c>
      <c r="E148" s="7">
        <v>1</v>
      </c>
      <c r="F148" s="7">
        <v>4</v>
      </c>
      <c r="G148" s="19">
        <v>1</v>
      </c>
      <c r="H148" s="19">
        <v>0</v>
      </c>
      <c r="I148" s="19">
        <v>0</v>
      </c>
      <c r="J148" s="7">
        <v>47.59</v>
      </c>
      <c r="K148" s="7">
        <v>0.33</v>
      </c>
      <c r="L148" s="8">
        <v>9.81</v>
      </c>
      <c r="M148" s="12" t="s">
        <v>2</v>
      </c>
      <c r="N148" s="6">
        <v>5</v>
      </c>
      <c r="O148" s="6">
        <v>7</v>
      </c>
      <c r="P148" s="6">
        <v>3</v>
      </c>
      <c r="Q148" s="6">
        <v>2</v>
      </c>
      <c r="R148" s="6">
        <v>3</v>
      </c>
      <c r="S148" s="7">
        <v>2</v>
      </c>
      <c r="T148" s="20" t="s">
        <v>2</v>
      </c>
      <c r="U148" s="7">
        <v>0</v>
      </c>
      <c r="V148" s="6">
        <v>1</v>
      </c>
    </row>
    <row r="149" spans="1:22" ht="15.75">
      <c r="A149" s="11" t="s">
        <v>179</v>
      </c>
      <c r="B149" s="6" t="s">
        <v>38</v>
      </c>
      <c r="C149" s="7">
        <v>1</v>
      </c>
      <c r="D149" s="6">
        <v>1</v>
      </c>
      <c r="E149" s="7">
        <v>3</v>
      </c>
      <c r="F149" s="7">
        <v>7</v>
      </c>
      <c r="G149" s="8" t="s">
        <v>2</v>
      </c>
      <c r="H149" s="8" t="s">
        <v>2</v>
      </c>
      <c r="I149" s="8" t="s">
        <v>2</v>
      </c>
      <c r="J149" s="7">
        <v>29.06</v>
      </c>
      <c r="K149" s="7">
        <v>1</v>
      </c>
      <c r="L149" s="8">
        <v>0.31</v>
      </c>
      <c r="M149" s="12" t="s">
        <v>2</v>
      </c>
      <c r="N149" s="6">
        <v>7</v>
      </c>
      <c r="O149" s="6">
        <v>5</v>
      </c>
      <c r="P149" s="6">
        <v>1</v>
      </c>
      <c r="Q149" s="6">
        <v>3</v>
      </c>
      <c r="R149" s="6">
        <v>6</v>
      </c>
      <c r="S149" s="7">
        <v>2</v>
      </c>
      <c r="T149" s="6" t="s">
        <v>18</v>
      </c>
      <c r="U149" s="7">
        <v>0</v>
      </c>
      <c r="V149" s="20" t="s">
        <v>2</v>
      </c>
    </row>
    <row r="150" spans="1:22" ht="15.75">
      <c r="A150" s="18" t="s">
        <v>180</v>
      </c>
      <c r="B150" s="6" t="s">
        <v>30</v>
      </c>
      <c r="C150" s="7">
        <v>2</v>
      </c>
      <c r="D150" s="6">
        <v>1</v>
      </c>
      <c r="E150" s="7">
        <v>2</v>
      </c>
      <c r="F150" s="7">
        <v>3</v>
      </c>
      <c r="G150" s="8">
        <f>51/91</f>
        <v>0.56043956043956045</v>
      </c>
      <c r="H150" s="8">
        <f>35/91</f>
        <v>0.38461538461538464</v>
      </c>
      <c r="I150" s="8">
        <f>5/91</f>
        <v>5.4945054945054944E-2</v>
      </c>
      <c r="J150" s="7">
        <v>29.38</v>
      </c>
      <c r="K150" s="7">
        <v>0.43</v>
      </c>
      <c r="L150" s="8">
        <v>0.28999999999999998</v>
      </c>
      <c r="M150" s="12">
        <v>1</v>
      </c>
      <c r="N150" s="6">
        <v>4</v>
      </c>
      <c r="O150" s="6">
        <v>4</v>
      </c>
      <c r="P150" s="6">
        <v>6</v>
      </c>
      <c r="Q150" s="6">
        <v>6</v>
      </c>
      <c r="R150" s="6">
        <v>6</v>
      </c>
      <c r="S150" s="7">
        <v>2</v>
      </c>
      <c r="T150" s="6">
        <v>0</v>
      </c>
      <c r="U150" s="7">
        <v>0</v>
      </c>
      <c r="V150" s="6">
        <v>1</v>
      </c>
    </row>
    <row r="151" spans="1:22" ht="15.75">
      <c r="A151" s="11" t="s">
        <v>181</v>
      </c>
      <c r="B151" s="6" t="s">
        <v>182</v>
      </c>
      <c r="C151" s="7">
        <v>1</v>
      </c>
      <c r="D151" s="6">
        <v>2</v>
      </c>
      <c r="E151" s="7">
        <v>4</v>
      </c>
      <c r="F151" s="7">
        <v>3</v>
      </c>
      <c r="G151" s="8">
        <v>0</v>
      </c>
      <c r="H151" s="8">
        <v>1</v>
      </c>
      <c r="I151" s="8">
        <v>0</v>
      </c>
      <c r="J151" s="7">
        <v>41.34</v>
      </c>
      <c r="K151" s="7">
        <v>0.33</v>
      </c>
      <c r="L151" s="8">
        <v>0.21</v>
      </c>
      <c r="M151" s="12">
        <v>3</v>
      </c>
      <c r="N151" s="6">
        <v>6</v>
      </c>
      <c r="O151" s="6">
        <v>1</v>
      </c>
      <c r="P151" s="6">
        <v>4</v>
      </c>
      <c r="Q151" s="6">
        <v>12</v>
      </c>
      <c r="R151" s="6">
        <v>6</v>
      </c>
      <c r="S151" s="7">
        <v>2</v>
      </c>
      <c r="T151" s="6">
        <v>1</v>
      </c>
      <c r="U151" s="7">
        <v>0</v>
      </c>
      <c r="V151" s="6">
        <v>1</v>
      </c>
    </row>
    <row r="152" spans="1:22" ht="15.75">
      <c r="A152" s="11" t="s">
        <v>183</v>
      </c>
      <c r="B152" s="6" t="s">
        <v>14</v>
      </c>
      <c r="C152" s="7">
        <v>1</v>
      </c>
      <c r="D152" s="13">
        <v>3</v>
      </c>
      <c r="E152" s="7">
        <v>1</v>
      </c>
      <c r="F152" s="7">
        <v>4</v>
      </c>
      <c r="G152" s="8">
        <v>0</v>
      </c>
      <c r="H152" s="8">
        <v>0</v>
      </c>
      <c r="I152" s="8">
        <v>1</v>
      </c>
      <c r="J152" s="7">
        <v>28.77</v>
      </c>
      <c r="K152" s="7">
        <v>0.8</v>
      </c>
      <c r="L152" s="8">
        <v>0.4</v>
      </c>
      <c r="M152" s="12" t="s">
        <v>2</v>
      </c>
      <c r="N152" s="6">
        <v>7</v>
      </c>
      <c r="O152" s="6">
        <v>7</v>
      </c>
      <c r="P152" s="6">
        <v>2</v>
      </c>
      <c r="Q152" s="6">
        <v>4</v>
      </c>
      <c r="R152" s="6">
        <v>3</v>
      </c>
      <c r="S152" s="7">
        <v>1</v>
      </c>
      <c r="T152" s="6" t="s">
        <v>10</v>
      </c>
      <c r="U152" s="7">
        <v>0</v>
      </c>
      <c r="V152" s="6">
        <v>0</v>
      </c>
    </row>
    <row r="153" spans="1:22" ht="15.75">
      <c r="A153" s="11" t="s">
        <v>184</v>
      </c>
      <c r="B153" s="6" t="s">
        <v>14</v>
      </c>
      <c r="C153" s="7">
        <v>1</v>
      </c>
      <c r="D153" s="13">
        <v>3</v>
      </c>
      <c r="E153" s="7">
        <v>1</v>
      </c>
      <c r="F153" s="7">
        <v>4</v>
      </c>
      <c r="G153" s="8" t="s">
        <v>2</v>
      </c>
      <c r="H153" s="8" t="s">
        <v>2</v>
      </c>
      <c r="I153" s="8" t="s">
        <v>2</v>
      </c>
      <c r="J153" s="7" t="s">
        <v>2</v>
      </c>
      <c r="K153" s="7">
        <v>1.5</v>
      </c>
      <c r="L153" s="8">
        <v>0.52</v>
      </c>
      <c r="M153" s="12" t="s">
        <v>2</v>
      </c>
      <c r="N153" s="6">
        <v>7</v>
      </c>
      <c r="O153" s="6">
        <v>8</v>
      </c>
      <c r="P153" s="6">
        <v>3</v>
      </c>
      <c r="Q153" s="6">
        <v>3</v>
      </c>
      <c r="R153" s="6">
        <v>8</v>
      </c>
      <c r="S153" s="7">
        <v>1</v>
      </c>
      <c r="T153" s="6" t="s">
        <v>10</v>
      </c>
      <c r="U153" s="7">
        <v>0</v>
      </c>
      <c r="V153" s="6">
        <v>0</v>
      </c>
    </row>
    <row r="154" spans="1:22">
      <c r="A154" s="11" t="s">
        <v>185</v>
      </c>
      <c r="B154" s="6" t="s">
        <v>14</v>
      </c>
      <c r="C154" s="7">
        <v>2</v>
      </c>
      <c r="D154" s="13">
        <v>3</v>
      </c>
      <c r="E154" s="7">
        <v>5</v>
      </c>
      <c r="F154" s="7" t="s">
        <v>186</v>
      </c>
      <c r="G154" s="8" t="s">
        <v>2</v>
      </c>
      <c r="H154" s="8" t="s">
        <v>2</v>
      </c>
      <c r="I154" s="8" t="s">
        <v>2</v>
      </c>
      <c r="J154" s="7" t="s">
        <v>2</v>
      </c>
      <c r="K154" s="7" t="s">
        <v>2</v>
      </c>
      <c r="L154" s="8">
        <v>1.3</v>
      </c>
      <c r="M154" s="12" t="s">
        <v>2</v>
      </c>
      <c r="N154" s="6" t="s">
        <v>2</v>
      </c>
      <c r="O154" s="6" t="s">
        <v>2</v>
      </c>
      <c r="P154" s="6" t="s">
        <v>2</v>
      </c>
      <c r="Q154" s="6" t="s">
        <v>2</v>
      </c>
      <c r="R154" s="6" t="s">
        <v>2</v>
      </c>
      <c r="S154" s="7">
        <v>1</v>
      </c>
      <c r="T154" s="6" t="s">
        <v>2</v>
      </c>
      <c r="U154" s="7">
        <v>0</v>
      </c>
      <c r="V154" s="6" t="s">
        <v>2</v>
      </c>
    </row>
    <row r="155" spans="1:22" ht="15.75">
      <c r="A155" s="11" t="s">
        <v>187</v>
      </c>
      <c r="B155" s="6" t="s">
        <v>188</v>
      </c>
      <c r="C155" s="7">
        <v>1</v>
      </c>
      <c r="D155" s="6">
        <v>1</v>
      </c>
      <c r="E155" s="7">
        <v>1</v>
      </c>
      <c r="F155" s="7">
        <v>4</v>
      </c>
      <c r="G155" s="8">
        <f>20/55</f>
        <v>0.36363636363636365</v>
      </c>
      <c r="H155" s="8">
        <v>0.34545454545454546</v>
      </c>
      <c r="I155" s="8">
        <f>16/55</f>
        <v>0.29090909090909089</v>
      </c>
      <c r="J155" s="7">
        <v>33.07</v>
      </c>
      <c r="K155" s="7">
        <v>0.7</v>
      </c>
      <c r="L155" s="8">
        <v>0.12</v>
      </c>
      <c r="M155" s="12">
        <v>1</v>
      </c>
      <c r="N155" s="6">
        <v>5</v>
      </c>
      <c r="O155" s="6">
        <v>3</v>
      </c>
      <c r="P155" s="6">
        <v>3</v>
      </c>
      <c r="Q155" s="6">
        <v>6</v>
      </c>
      <c r="R155" s="6">
        <v>10</v>
      </c>
      <c r="S155" s="7">
        <v>2</v>
      </c>
      <c r="T155" s="6" t="s">
        <v>42</v>
      </c>
      <c r="U155" s="7">
        <v>0</v>
      </c>
      <c r="V155" s="6">
        <v>1</v>
      </c>
    </row>
    <row r="156" spans="1:22" ht="15.75">
      <c r="A156" s="11" t="s">
        <v>189</v>
      </c>
      <c r="B156" s="6" t="s">
        <v>494</v>
      </c>
      <c r="C156" s="7">
        <v>2</v>
      </c>
      <c r="D156" s="6">
        <v>1</v>
      </c>
      <c r="E156" s="7">
        <v>2</v>
      </c>
      <c r="F156" s="7">
        <v>1</v>
      </c>
      <c r="G156" s="8">
        <f>23/32</f>
        <v>0.71875</v>
      </c>
      <c r="H156" s="8">
        <f>6/32</f>
        <v>0.1875</v>
      </c>
      <c r="I156" s="8">
        <f>3/32</f>
        <v>9.375E-2</v>
      </c>
      <c r="J156" s="7">
        <v>32.93</v>
      </c>
      <c r="K156" s="7">
        <v>1.25</v>
      </c>
      <c r="L156" s="8">
        <v>3.3</v>
      </c>
      <c r="M156" s="12">
        <v>2</v>
      </c>
      <c r="N156" s="6">
        <v>7</v>
      </c>
      <c r="O156" s="6">
        <v>7</v>
      </c>
      <c r="P156" s="6">
        <v>3</v>
      </c>
      <c r="Q156" s="6">
        <v>3</v>
      </c>
      <c r="R156" s="6">
        <v>5</v>
      </c>
      <c r="S156" s="7">
        <v>2</v>
      </c>
      <c r="T156" s="6">
        <v>1</v>
      </c>
      <c r="U156" s="7">
        <v>0</v>
      </c>
      <c r="V156" s="6">
        <v>1</v>
      </c>
    </row>
    <row r="157" spans="1:22" ht="15.75">
      <c r="A157" s="11" t="s">
        <v>190</v>
      </c>
      <c r="B157" s="6" t="s">
        <v>191</v>
      </c>
      <c r="C157" s="7">
        <v>1</v>
      </c>
      <c r="D157" s="6">
        <v>2</v>
      </c>
      <c r="E157" s="7">
        <v>1</v>
      </c>
      <c r="F157" s="7">
        <v>3</v>
      </c>
      <c r="G157" s="8" t="s">
        <v>2</v>
      </c>
      <c r="H157" s="8" t="s">
        <v>2</v>
      </c>
      <c r="I157" s="8" t="s">
        <v>2</v>
      </c>
      <c r="J157" s="7">
        <v>29.31</v>
      </c>
      <c r="K157" s="7">
        <v>0.74</v>
      </c>
      <c r="L157" s="8">
        <v>1.2</v>
      </c>
      <c r="M157" s="12" t="s">
        <v>2</v>
      </c>
      <c r="N157" s="6">
        <v>6</v>
      </c>
      <c r="O157" s="6" t="s">
        <v>2</v>
      </c>
      <c r="P157" s="6">
        <v>5</v>
      </c>
      <c r="Q157" s="6" t="s">
        <v>2</v>
      </c>
      <c r="R157" s="6" t="s">
        <v>2</v>
      </c>
      <c r="S157" s="7">
        <v>2</v>
      </c>
      <c r="T157" s="6" t="s">
        <v>2</v>
      </c>
      <c r="U157" s="7">
        <v>0</v>
      </c>
      <c r="V157" s="6">
        <v>1</v>
      </c>
    </row>
    <row r="158" spans="1:22" ht="15.75">
      <c r="A158" s="11" t="s">
        <v>192</v>
      </c>
      <c r="B158" s="6" t="s">
        <v>14</v>
      </c>
      <c r="C158" s="7">
        <v>1</v>
      </c>
      <c r="D158" s="13">
        <v>3</v>
      </c>
      <c r="E158" s="7">
        <v>1</v>
      </c>
      <c r="F158" s="7">
        <v>3</v>
      </c>
      <c r="G158" s="8">
        <v>1</v>
      </c>
      <c r="H158" s="8">
        <v>0</v>
      </c>
      <c r="I158" s="8">
        <v>0</v>
      </c>
      <c r="J158" s="7">
        <v>21.84</v>
      </c>
      <c r="K158" s="7">
        <v>0.75</v>
      </c>
      <c r="L158" s="8">
        <v>6.13</v>
      </c>
      <c r="M158" s="12" t="s">
        <v>2</v>
      </c>
      <c r="N158" s="6">
        <v>6</v>
      </c>
      <c r="O158" s="6">
        <v>4</v>
      </c>
      <c r="P158" s="6">
        <v>4</v>
      </c>
      <c r="Q158" s="6">
        <v>4</v>
      </c>
      <c r="R158" s="6">
        <v>5</v>
      </c>
      <c r="S158" s="7">
        <v>1</v>
      </c>
      <c r="T158" s="6" t="s">
        <v>10</v>
      </c>
      <c r="U158" s="7">
        <v>0</v>
      </c>
      <c r="V158" s="6">
        <v>0</v>
      </c>
    </row>
    <row r="159" spans="1:22" ht="15.75">
      <c r="A159" s="21" t="s">
        <v>193</v>
      </c>
      <c r="B159" s="6" t="s">
        <v>141</v>
      </c>
      <c r="C159" s="7">
        <v>1</v>
      </c>
      <c r="D159" s="6">
        <v>2</v>
      </c>
      <c r="E159" s="7">
        <v>1</v>
      </c>
      <c r="F159" s="7" t="s">
        <v>2</v>
      </c>
      <c r="G159" s="8" t="s">
        <v>2</v>
      </c>
      <c r="H159" s="8" t="s">
        <v>2</v>
      </c>
      <c r="I159" s="8" t="s">
        <v>2</v>
      </c>
      <c r="J159" s="7">
        <v>17.25</v>
      </c>
      <c r="K159" s="7">
        <v>2.19</v>
      </c>
      <c r="L159" s="8">
        <v>395</v>
      </c>
      <c r="M159" s="12" t="s">
        <v>2</v>
      </c>
      <c r="N159" s="6">
        <v>6</v>
      </c>
      <c r="O159" s="6">
        <v>6</v>
      </c>
      <c r="P159" s="6">
        <v>4</v>
      </c>
      <c r="Q159" s="6">
        <v>4</v>
      </c>
      <c r="R159" s="6" t="s">
        <v>2</v>
      </c>
      <c r="S159" s="7">
        <v>2</v>
      </c>
      <c r="T159" s="6">
        <v>1</v>
      </c>
      <c r="U159" s="7">
        <v>1</v>
      </c>
      <c r="V159" s="6">
        <v>1</v>
      </c>
    </row>
    <row r="160" spans="1:22">
      <c r="A160" s="10" t="s">
        <v>194</v>
      </c>
      <c r="B160" s="6" t="s">
        <v>14</v>
      </c>
      <c r="C160" s="7">
        <v>2</v>
      </c>
      <c r="D160" s="13">
        <v>3</v>
      </c>
      <c r="E160" s="7">
        <v>3</v>
      </c>
      <c r="F160" s="7">
        <v>1</v>
      </c>
      <c r="G160" s="8">
        <f>119/149</f>
        <v>0.79865771812080533</v>
      </c>
      <c r="H160" s="8">
        <f>21/149</f>
        <v>0.14093959731543623</v>
      </c>
      <c r="I160" s="8">
        <f>9/149</f>
        <v>6.0402684563758392E-2</v>
      </c>
      <c r="J160" s="7">
        <v>25.09</v>
      </c>
      <c r="K160" s="7">
        <v>0.9</v>
      </c>
      <c r="L160" s="8">
        <v>0.72</v>
      </c>
      <c r="M160" s="12">
        <v>1</v>
      </c>
      <c r="N160" s="6">
        <v>6</v>
      </c>
      <c r="O160" s="6">
        <v>5</v>
      </c>
      <c r="P160" s="6">
        <v>3</v>
      </c>
      <c r="Q160" s="6" t="s">
        <v>195</v>
      </c>
      <c r="R160" s="6">
        <v>6</v>
      </c>
      <c r="S160" s="7">
        <v>1</v>
      </c>
      <c r="T160" s="6">
        <v>1</v>
      </c>
      <c r="U160" s="7">
        <v>0</v>
      </c>
      <c r="V160" s="6">
        <v>0</v>
      </c>
    </row>
    <row r="161" spans="1:22" ht="15.75">
      <c r="A161" s="11" t="s">
        <v>400</v>
      </c>
      <c r="B161" s="6" t="s">
        <v>14</v>
      </c>
      <c r="C161" s="7">
        <v>3</v>
      </c>
      <c r="D161" s="13">
        <v>3</v>
      </c>
      <c r="E161" s="7">
        <v>5</v>
      </c>
      <c r="F161" s="7">
        <v>5</v>
      </c>
      <c r="G161" s="8">
        <v>1</v>
      </c>
      <c r="H161" s="8">
        <v>0</v>
      </c>
      <c r="I161" s="8">
        <v>0</v>
      </c>
      <c r="J161" s="7">
        <v>16.260000000000002</v>
      </c>
      <c r="K161" s="7">
        <v>4</v>
      </c>
      <c r="L161" s="8">
        <v>0.11</v>
      </c>
      <c r="M161" s="12">
        <v>2</v>
      </c>
      <c r="N161" s="6">
        <v>7</v>
      </c>
      <c r="O161" s="6">
        <v>6</v>
      </c>
      <c r="P161" s="6">
        <v>3</v>
      </c>
      <c r="Q161" s="6">
        <v>7</v>
      </c>
      <c r="R161" s="6">
        <v>5</v>
      </c>
      <c r="S161" s="7">
        <v>1</v>
      </c>
      <c r="T161" s="6" t="s">
        <v>42</v>
      </c>
      <c r="U161" s="7">
        <v>0</v>
      </c>
      <c r="V161" s="6">
        <v>0</v>
      </c>
    </row>
    <row r="162" spans="1:22" ht="16.5" customHeight="1">
      <c r="A162" s="11" t="s">
        <v>196</v>
      </c>
      <c r="B162" s="6" t="s">
        <v>25</v>
      </c>
      <c r="C162" s="7">
        <v>1</v>
      </c>
      <c r="D162" s="13">
        <v>1</v>
      </c>
      <c r="E162" s="7">
        <v>1</v>
      </c>
      <c r="F162" s="7">
        <v>7</v>
      </c>
      <c r="G162" s="8">
        <v>1</v>
      </c>
      <c r="H162" s="8">
        <v>0</v>
      </c>
      <c r="I162" s="8">
        <v>0</v>
      </c>
      <c r="J162" s="7">
        <v>32.93</v>
      </c>
      <c r="K162" s="7">
        <v>0.55000000000000004</v>
      </c>
      <c r="L162" s="8">
        <v>0.84</v>
      </c>
      <c r="M162" s="12">
        <v>2</v>
      </c>
      <c r="N162" s="6">
        <v>7</v>
      </c>
      <c r="O162" s="6">
        <v>6</v>
      </c>
      <c r="P162" s="6">
        <v>2</v>
      </c>
      <c r="Q162" s="6">
        <v>4</v>
      </c>
      <c r="R162" s="6">
        <v>2</v>
      </c>
      <c r="S162" s="7">
        <v>2</v>
      </c>
      <c r="T162" s="6">
        <v>1</v>
      </c>
      <c r="U162" s="7">
        <v>0</v>
      </c>
      <c r="V162" s="6">
        <v>1</v>
      </c>
    </row>
    <row r="163" spans="1:22" ht="15.75">
      <c r="A163" s="14" t="s">
        <v>401</v>
      </c>
      <c r="B163" s="6" t="s">
        <v>141</v>
      </c>
      <c r="C163" s="7">
        <v>1</v>
      </c>
      <c r="D163" s="6">
        <v>2</v>
      </c>
      <c r="E163" s="7">
        <v>1</v>
      </c>
      <c r="F163" s="7">
        <v>4</v>
      </c>
      <c r="G163" s="8" t="s">
        <v>2</v>
      </c>
      <c r="H163" s="8" t="s">
        <v>2</v>
      </c>
      <c r="I163" s="8" t="s">
        <v>2</v>
      </c>
      <c r="J163" s="7">
        <v>20.75</v>
      </c>
      <c r="K163" s="7">
        <v>1</v>
      </c>
      <c r="L163" s="8">
        <v>201.8</v>
      </c>
      <c r="M163" s="12" t="s">
        <v>2</v>
      </c>
      <c r="N163" s="6">
        <v>5</v>
      </c>
      <c r="O163" s="6">
        <v>4</v>
      </c>
      <c r="P163" s="6">
        <v>3</v>
      </c>
      <c r="Q163" s="6">
        <v>4</v>
      </c>
      <c r="R163" s="6">
        <v>3</v>
      </c>
      <c r="S163" s="7">
        <v>2</v>
      </c>
      <c r="T163" s="6">
        <v>1</v>
      </c>
      <c r="U163" s="7">
        <v>1</v>
      </c>
      <c r="V163" s="6">
        <v>1</v>
      </c>
    </row>
    <row r="164" spans="1:22" ht="15.75">
      <c r="A164" s="11" t="s">
        <v>197</v>
      </c>
      <c r="B164" s="6" t="s">
        <v>198</v>
      </c>
      <c r="C164" s="7">
        <v>2</v>
      </c>
      <c r="D164" s="13">
        <v>1</v>
      </c>
      <c r="E164" s="7">
        <v>3</v>
      </c>
      <c r="F164" s="7">
        <v>7</v>
      </c>
      <c r="G164" s="8">
        <f>223/296</f>
        <v>0.7533783783783784</v>
      </c>
      <c r="H164" s="8">
        <f>56/296</f>
        <v>0.1891891891891892</v>
      </c>
      <c r="I164" s="8">
        <f>17/296</f>
        <v>5.7432432432432436E-2</v>
      </c>
      <c r="J164" s="7">
        <v>18.559999999999999</v>
      </c>
      <c r="K164" s="7">
        <v>0.33</v>
      </c>
      <c r="L164" s="8">
        <v>1.85</v>
      </c>
      <c r="M164" s="12">
        <v>1</v>
      </c>
      <c r="N164" s="6">
        <v>5</v>
      </c>
      <c r="O164" s="6">
        <v>4</v>
      </c>
      <c r="P164" s="6">
        <v>6</v>
      </c>
      <c r="Q164" s="6">
        <v>7</v>
      </c>
      <c r="R164" s="6">
        <v>10</v>
      </c>
      <c r="S164" s="7">
        <v>2</v>
      </c>
      <c r="T164" s="6">
        <v>1</v>
      </c>
      <c r="U164" s="7">
        <v>0</v>
      </c>
      <c r="V164" s="6">
        <v>1</v>
      </c>
    </row>
    <row r="165" spans="1:22" ht="15.75">
      <c r="A165" s="11" t="s">
        <v>199</v>
      </c>
      <c r="B165" s="6" t="s">
        <v>198</v>
      </c>
      <c r="C165" s="7">
        <v>2</v>
      </c>
      <c r="D165" s="13">
        <v>1</v>
      </c>
      <c r="E165" s="7">
        <v>5</v>
      </c>
      <c r="F165" s="7">
        <v>7</v>
      </c>
      <c r="G165" s="23">
        <v>0.35</v>
      </c>
      <c r="H165" s="23">
        <v>0.39</v>
      </c>
      <c r="I165" s="23">
        <f>65/243</f>
        <v>0.26748971193415638</v>
      </c>
      <c r="J165" s="7">
        <v>21.18</v>
      </c>
      <c r="K165" s="7" t="s">
        <v>2</v>
      </c>
      <c r="L165" s="8">
        <v>0.2</v>
      </c>
      <c r="M165" s="12">
        <v>1</v>
      </c>
      <c r="N165" s="6">
        <v>3</v>
      </c>
      <c r="O165" s="6">
        <v>4</v>
      </c>
      <c r="P165" s="6">
        <v>6</v>
      </c>
      <c r="Q165" s="6">
        <v>8</v>
      </c>
      <c r="R165" s="6">
        <v>7</v>
      </c>
      <c r="S165" s="7">
        <v>2</v>
      </c>
      <c r="T165" s="6" t="s">
        <v>2</v>
      </c>
      <c r="U165" s="7">
        <v>0</v>
      </c>
      <c r="V165" s="6" t="s">
        <v>2</v>
      </c>
    </row>
    <row r="166" spans="1:22" ht="15.75">
      <c r="A166" s="10" t="s">
        <v>402</v>
      </c>
      <c r="B166" s="6" t="s">
        <v>198</v>
      </c>
      <c r="C166" s="7">
        <v>2</v>
      </c>
      <c r="D166" s="13">
        <v>1</v>
      </c>
      <c r="E166" s="7">
        <v>5</v>
      </c>
      <c r="F166" s="7">
        <v>7</v>
      </c>
      <c r="G166" s="23">
        <f>84/243</f>
        <v>0.34567901234567899</v>
      </c>
      <c r="H166" s="23">
        <f>94/243</f>
        <v>0.38683127572016462</v>
      </c>
      <c r="I166" s="23">
        <f>65/243</f>
        <v>0.26748971193415638</v>
      </c>
      <c r="J166" s="7">
        <v>22.69</v>
      </c>
      <c r="K166" s="7">
        <v>0.43</v>
      </c>
      <c r="L166" s="8">
        <v>0.25</v>
      </c>
      <c r="M166" s="12">
        <v>1</v>
      </c>
      <c r="N166" s="6">
        <v>6</v>
      </c>
      <c r="O166" s="6">
        <v>4</v>
      </c>
      <c r="P166" s="6">
        <v>5</v>
      </c>
      <c r="Q166" s="6">
        <v>8</v>
      </c>
      <c r="R166" s="6">
        <v>7</v>
      </c>
      <c r="S166" s="7">
        <v>2</v>
      </c>
      <c r="T166" s="6">
        <v>1</v>
      </c>
      <c r="U166" s="7">
        <v>0</v>
      </c>
      <c r="V166" s="6">
        <v>1</v>
      </c>
    </row>
    <row r="167" spans="1:22" ht="15.75">
      <c r="A167" s="11" t="s">
        <v>200</v>
      </c>
      <c r="B167" s="6" t="s">
        <v>198</v>
      </c>
      <c r="C167" s="7">
        <v>2</v>
      </c>
      <c r="D167" s="13">
        <v>1</v>
      </c>
      <c r="E167" s="7">
        <v>5</v>
      </c>
      <c r="F167" s="7">
        <v>7</v>
      </c>
      <c r="G167" s="8">
        <f>31/43</f>
        <v>0.72093023255813948</v>
      </c>
      <c r="H167" s="8">
        <f>10/43</f>
        <v>0.23255813953488372</v>
      </c>
      <c r="I167" s="8">
        <f>2/43</f>
        <v>4.6511627906976744E-2</v>
      </c>
      <c r="J167" s="7">
        <v>19.22</v>
      </c>
      <c r="K167" s="7">
        <v>0.43</v>
      </c>
      <c r="L167" s="8">
        <v>0.55000000000000004</v>
      </c>
      <c r="M167" s="12">
        <v>1</v>
      </c>
      <c r="N167" s="6">
        <v>5</v>
      </c>
      <c r="O167" s="6">
        <v>5</v>
      </c>
      <c r="P167" s="6">
        <v>5</v>
      </c>
      <c r="Q167" s="6">
        <v>5</v>
      </c>
      <c r="R167" s="6">
        <v>3</v>
      </c>
      <c r="S167" s="7">
        <v>2</v>
      </c>
      <c r="T167" s="6">
        <v>1</v>
      </c>
      <c r="U167" s="7">
        <v>0</v>
      </c>
      <c r="V167" s="6">
        <v>1</v>
      </c>
    </row>
    <row r="168" spans="1:22" ht="15.75">
      <c r="A168" s="11" t="s">
        <v>201</v>
      </c>
      <c r="B168" s="6" t="s">
        <v>14</v>
      </c>
      <c r="C168" s="7">
        <v>1</v>
      </c>
      <c r="D168" s="13">
        <v>3</v>
      </c>
      <c r="E168" s="7">
        <v>4</v>
      </c>
      <c r="F168" s="7">
        <v>3</v>
      </c>
      <c r="G168" s="8">
        <f>37/213</f>
        <v>0.17370892018779344</v>
      </c>
      <c r="H168" s="8">
        <f>129/213</f>
        <v>0.60563380281690138</v>
      </c>
      <c r="I168" s="8">
        <f>47/213</f>
        <v>0.22065727699530516</v>
      </c>
      <c r="J168" s="7">
        <v>36.17</v>
      </c>
      <c r="K168" s="7">
        <v>0.15</v>
      </c>
      <c r="L168" s="8">
        <v>0.26</v>
      </c>
      <c r="M168" s="12">
        <v>1</v>
      </c>
      <c r="N168" s="6">
        <v>1</v>
      </c>
      <c r="O168" s="6">
        <v>1</v>
      </c>
      <c r="P168" s="6">
        <v>12</v>
      </c>
      <c r="Q168" s="6">
        <v>12</v>
      </c>
      <c r="R168" s="6">
        <v>8</v>
      </c>
      <c r="S168" s="7">
        <v>1</v>
      </c>
      <c r="T168" s="6" t="s">
        <v>42</v>
      </c>
      <c r="U168" s="7">
        <v>0</v>
      </c>
      <c r="V168" s="6">
        <v>0</v>
      </c>
    </row>
    <row r="169" spans="1:22" ht="15.75">
      <c r="A169" s="11" t="s">
        <v>202</v>
      </c>
      <c r="B169" s="6" t="s">
        <v>14</v>
      </c>
      <c r="C169" s="7">
        <v>2</v>
      </c>
      <c r="D169" s="13">
        <v>3</v>
      </c>
      <c r="E169" s="7">
        <v>4</v>
      </c>
      <c r="F169" s="7">
        <v>7</v>
      </c>
      <c r="G169" s="8">
        <f>126/305</f>
        <v>0.41311475409836068</v>
      </c>
      <c r="H169" s="8">
        <f>127/305</f>
        <v>0.4163934426229508</v>
      </c>
      <c r="I169" s="8">
        <f>52/305</f>
        <v>0.17049180327868851</v>
      </c>
      <c r="J169" s="7">
        <v>30.97</v>
      </c>
      <c r="K169" s="7">
        <v>1.2</v>
      </c>
      <c r="L169" s="8">
        <v>0.13</v>
      </c>
      <c r="M169" s="12">
        <v>1</v>
      </c>
      <c r="N169" s="6">
        <v>6</v>
      </c>
      <c r="O169" s="6">
        <v>4</v>
      </c>
      <c r="P169" s="6">
        <v>2</v>
      </c>
      <c r="Q169" s="6">
        <v>5</v>
      </c>
      <c r="R169" s="6">
        <v>7</v>
      </c>
      <c r="S169" s="7">
        <v>1</v>
      </c>
      <c r="T169" s="6" t="s">
        <v>42</v>
      </c>
      <c r="U169" s="7">
        <v>0</v>
      </c>
      <c r="V169" s="6">
        <v>0</v>
      </c>
    </row>
    <row r="170" spans="1:22" ht="15.75">
      <c r="A170" s="11" t="s">
        <v>203</v>
      </c>
      <c r="B170" s="6" t="s">
        <v>60</v>
      </c>
      <c r="C170" s="7">
        <v>1</v>
      </c>
      <c r="D170" s="6">
        <v>2</v>
      </c>
      <c r="E170" s="7">
        <v>1</v>
      </c>
      <c r="F170" s="7">
        <v>3</v>
      </c>
      <c r="G170" s="8">
        <v>0</v>
      </c>
      <c r="H170" s="8">
        <v>0.5</v>
      </c>
      <c r="I170" s="8">
        <v>0.5</v>
      </c>
      <c r="J170" s="7">
        <v>28.88</v>
      </c>
      <c r="K170" s="7">
        <v>0.3</v>
      </c>
      <c r="L170" s="8">
        <v>1.7</v>
      </c>
      <c r="M170" s="12" t="s">
        <v>2</v>
      </c>
      <c r="N170" s="6">
        <v>7</v>
      </c>
      <c r="O170" s="6">
        <v>6</v>
      </c>
      <c r="P170" s="6">
        <v>5</v>
      </c>
      <c r="Q170" s="6">
        <v>3</v>
      </c>
      <c r="R170" s="6">
        <v>1</v>
      </c>
      <c r="S170" s="7">
        <v>2</v>
      </c>
      <c r="T170" s="6" t="s">
        <v>2</v>
      </c>
      <c r="U170" s="7">
        <v>0</v>
      </c>
      <c r="V170" s="6">
        <v>1</v>
      </c>
    </row>
    <row r="171" spans="1:22" ht="15.75">
      <c r="A171" s="11" t="s">
        <v>204</v>
      </c>
      <c r="B171" s="6" t="s">
        <v>60</v>
      </c>
      <c r="C171" s="7">
        <v>1</v>
      </c>
      <c r="D171" s="6">
        <v>2</v>
      </c>
      <c r="E171" s="7">
        <v>1</v>
      </c>
      <c r="F171" s="7">
        <v>3</v>
      </c>
      <c r="G171" s="8">
        <f>54/126</f>
        <v>0.42857142857142855</v>
      </c>
      <c r="H171" s="8">
        <v>0.26190476190476192</v>
      </c>
      <c r="I171" s="8">
        <f>39/126</f>
        <v>0.30952380952380953</v>
      </c>
      <c r="J171" s="7">
        <v>28.88</v>
      </c>
      <c r="K171" s="7">
        <v>1.25</v>
      </c>
      <c r="L171" s="8">
        <v>1.9</v>
      </c>
      <c r="M171" s="12">
        <v>2</v>
      </c>
      <c r="N171" s="6">
        <v>5</v>
      </c>
      <c r="O171" s="6">
        <v>4</v>
      </c>
      <c r="P171" s="6">
        <v>7</v>
      </c>
      <c r="Q171" s="6">
        <v>5</v>
      </c>
      <c r="R171" s="6">
        <v>1</v>
      </c>
      <c r="S171" s="7">
        <v>2</v>
      </c>
      <c r="T171" s="6" t="s">
        <v>39</v>
      </c>
      <c r="U171" s="7">
        <v>0</v>
      </c>
      <c r="V171" s="6">
        <v>1</v>
      </c>
    </row>
    <row r="172" spans="1:22" ht="15.75">
      <c r="A172" s="11" t="s">
        <v>500</v>
      </c>
      <c r="B172" s="6" t="s">
        <v>60</v>
      </c>
      <c r="C172" s="7">
        <v>1</v>
      </c>
      <c r="D172" s="6">
        <v>2</v>
      </c>
      <c r="E172" s="7">
        <v>1</v>
      </c>
      <c r="F172" s="7">
        <v>4</v>
      </c>
      <c r="G172" s="19">
        <f>12/39</f>
        <v>0.30769230769230771</v>
      </c>
      <c r="H172" s="19">
        <f>9/39</f>
        <v>0.23076923076923078</v>
      </c>
      <c r="I172" s="19">
        <f>18/39</f>
        <v>0.46153846153846156</v>
      </c>
      <c r="J172" s="7">
        <v>22.66</v>
      </c>
      <c r="K172" s="7">
        <v>0.9</v>
      </c>
      <c r="L172" s="8">
        <v>2.2000000000000002</v>
      </c>
      <c r="M172" s="12">
        <v>2</v>
      </c>
      <c r="N172" s="6" t="s">
        <v>2</v>
      </c>
      <c r="O172" s="6">
        <v>7</v>
      </c>
      <c r="P172" s="6" t="s">
        <v>2</v>
      </c>
      <c r="Q172" s="6">
        <v>4</v>
      </c>
      <c r="R172" s="6">
        <v>8</v>
      </c>
      <c r="S172" s="7">
        <v>2</v>
      </c>
      <c r="T172" s="20" t="s">
        <v>2</v>
      </c>
      <c r="U172" s="7">
        <v>0</v>
      </c>
      <c r="V172" s="20" t="s">
        <v>2</v>
      </c>
    </row>
    <row r="173" spans="1:22" ht="15.75">
      <c r="A173" s="10" t="s">
        <v>403</v>
      </c>
      <c r="B173" s="31" t="s">
        <v>60</v>
      </c>
      <c r="C173" s="7">
        <v>1</v>
      </c>
      <c r="D173" s="6">
        <v>2</v>
      </c>
      <c r="E173" s="7">
        <v>1</v>
      </c>
      <c r="F173" s="29">
        <v>4</v>
      </c>
      <c r="G173" s="32">
        <v>0</v>
      </c>
      <c r="H173" s="32">
        <v>0</v>
      </c>
      <c r="I173" s="32">
        <v>1</v>
      </c>
      <c r="J173" s="7">
        <v>25.72</v>
      </c>
      <c r="K173" s="7">
        <v>0.73</v>
      </c>
      <c r="L173" s="8">
        <v>2</v>
      </c>
      <c r="M173" s="12">
        <v>2</v>
      </c>
      <c r="N173" s="31">
        <v>7</v>
      </c>
      <c r="O173" s="6">
        <v>7</v>
      </c>
      <c r="P173" s="31">
        <v>3</v>
      </c>
      <c r="Q173" s="6">
        <v>4</v>
      </c>
      <c r="R173" s="31">
        <v>7</v>
      </c>
      <c r="S173" s="7">
        <v>2</v>
      </c>
      <c r="T173" s="31" t="s">
        <v>2</v>
      </c>
      <c r="U173" s="7">
        <v>0</v>
      </c>
      <c r="V173" s="31" t="s">
        <v>2</v>
      </c>
    </row>
    <row r="174" spans="1:22" ht="15.75">
      <c r="A174" s="11" t="s">
        <v>205</v>
      </c>
      <c r="B174" s="6" t="s">
        <v>206</v>
      </c>
      <c r="C174" s="7">
        <v>1</v>
      </c>
      <c r="D174" s="6">
        <v>2</v>
      </c>
      <c r="E174" s="7">
        <v>1</v>
      </c>
      <c r="F174" s="7">
        <v>3</v>
      </c>
      <c r="G174" s="8">
        <f>4/31</f>
        <v>0.12903225806451613</v>
      </c>
      <c r="H174" s="8">
        <f>11/31</f>
        <v>0.35483870967741937</v>
      </c>
      <c r="I174" s="8">
        <f>16/31</f>
        <v>0.5161290322580645</v>
      </c>
      <c r="J174" s="7">
        <v>19.47</v>
      </c>
      <c r="K174" s="7">
        <v>0.3</v>
      </c>
      <c r="L174" s="8">
        <v>0.21</v>
      </c>
      <c r="M174" s="12">
        <v>3</v>
      </c>
      <c r="N174" s="6">
        <v>6</v>
      </c>
      <c r="O174" s="6">
        <v>5</v>
      </c>
      <c r="P174" s="6">
        <v>4</v>
      </c>
      <c r="Q174" s="6">
        <v>6</v>
      </c>
      <c r="R174" s="6">
        <v>7</v>
      </c>
      <c r="S174" s="7">
        <v>2</v>
      </c>
      <c r="T174" s="6" t="s">
        <v>42</v>
      </c>
      <c r="U174" s="7">
        <v>0</v>
      </c>
      <c r="V174" s="6">
        <v>1</v>
      </c>
    </row>
    <row r="175" spans="1:22">
      <c r="A175" s="11" t="s">
        <v>207</v>
      </c>
      <c r="B175" s="6" t="s">
        <v>36</v>
      </c>
      <c r="C175" s="7">
        <v>2</v>
      </c>
      <c r="D175" s="6">
        <v>1</v>
      </c>
      <c r="E175" s="7">
        <v>4</v>
      </c>
      <c r="F175" s="7">
        <v>7</v>
      </c>
      <c r="G175" s="8">
        <f>58/70</f>
        <v>0.82857142857142863</v>
      </c>
      <c r="H175" s="8">
        <f>10/70</f>
        <v>0.14285714285714285</v>
      </c>
      <c r="I175" s="8">
        <f>2/70</f>
        <v>2.8571428571428571E-2</v>
      </c>
      <c r="J175" s="7">
        <v>23.29</v>
      </c>
      <c r="K175" s="7">
        <v>0.28999999999999998</v>
      </c>
      <c r="L175" s="8">
        <v>0.8</v>
      </c>
      <c r="M175" s="12">
        <v>2</v>
      </c>
      <c r="N175" s="6">
        <v>5</v>
      </c>
      <c r="O175" s="6" t="s">
        <v>2</v>
      </c>
      <c r="P175" s="6">
        <v>4</v>
      </c>
      <c r="Q175" s="6" t="s">
        <v>2</v>
      </c>
      <c r="R175" s="6">
        <v>7</v>
      </c>
      <c r="S175" s="7">
        <v>2</v>
      </c>
      <c r="T175" s="6">
        <v>1</v>
      </c>
      <c r="U175" s="7">
        <v>0</v>
      </c>
      <c r="V175" s="6">
        <v>1</v>
      </c>
    </row>
    <row r="176" spans="1:22" ht="15.75">
      <c r="A176" s="11" t="s">
        <v>404</v>
      </c>
      <c r="B176" s="6" t="s">
        <v>25</v>
      </c>
      <c r="C176" s="7">
        <v>2</v>
      </c>
      <c r="D176" s="6">
        <v>2</v>
      </c>
      <c r="E176" s="7">
        <v>4</v>
      </c>
      <c r="F176" s="7">
        <v>5</v>
      </c>
      <c r="G176" s="8">
        <v>0.5</v>
      </c>
      <c r="H176" s="8">
        <v>0.5</v>
      </c>
      <c r="I176" s="8">
        <v>0</v>
      </c>
      <c r="J176" s="7">
        <v>30.55</v>
      </c>
      <c r="K176" s="7">
        <v>0.6</v>
      </c>
      <c r="L176" s="8">
        <v>0.09</v>
      </c>
      <c r="M176" s="12" t="s">
        <v>2</v>
      </c>
      <c r="N176" s="6">
        <v>7</v>
      </c>
      <c r="O176" s="6">
        <v>7</v>
      </c>
      <c r="P176" s="6">
        <v>3</v>
      </c>
      <c r="Q176" s="6">
        <v>4</v>
      </c>
      <c r="R176" s="6">
        <v>5</v>
      </c>
      <c r="S176" s="7">
        <v>2</v>
      </c>
      <c r="T176" s="6">
        <v>1</v>
      </c>
      <c r="U176" s="7">
        <v>0</v>
      </c>
      <c r="V176" s="6">
        <v>1</v>
      </c>
    </row>
    <row r="177" spans="1:22" ht="15.75">
      <c r="A177" s="11" t="s">
        <v>208</v>
      </c>
      <c r="B177" s="6" t="s">
        <v>4</v>
      </c>
      <c r="C177" s="7">
        <v>2</v>
      </c>
      <c r="D177" s="6">
        <v>1</v>
      </c>
      <c r="E177" s="7">
        <v>5</v>
      </c>
      <c r="F177" s="7">
        <v>1</v>
      </c>
      <c r="G177" s="8">
        <f>163/197</f>
        <v>0.82741116751269039</v>
      </c>
      <c r="H177" s="8">
        <f>28/197</f>
        <v>0.14213197969543148</v>
      </c>
      <c r="I177" s="8">
        <f>6/197</f>
        <v>3.0456852791878174E-2</v>
      </c>
      <c r="J177" s="7">
        <v>23.27</v>
      </c>
      <c r="K177" s="7">
        <v>0.47</v>
      </c>
      <c r="L177" s="8">
        <v>1.8</v>
      </c>
      <c r="M177" s="12">
        <v>1</v>
      </c>
      <c r="N177" s="6">
        <v>5</v>
      </c>
      <c r="O177" s="6">
        <v>5</v>
      </c>
      <c r="P177" s="6">
        <v>5</v>
      </c>
      <c r="Q177" s="6">
        <v>5</v>
      </c>
      <c r="R177" s="6">
        <v>10</v>
      </c>
      <c r="S177" s="7">
        <v>2</v>
      </c>
      <c r="T177" s="6">
        <v>1</v>
      </c>
      <c r="U177" s="7">
        <v>0</v>
      </c>
      <c r="V177" s="6">
        <v>1</v>
      </c>
    </row>
    <row r="178" spans="1:22" ht="15.75">
      <c r="A178" s="11" t="s">
        <v>209</v>
      </c>
      <c r="B178" s="6" t="s">
        <v>4</v>
      </c>
      <c r="C178" s="7">
        <v>1</v>
      </c>
      <c r="D178" s="6">
        <v>1</v>
      </c>
      <c r="E178" s="7">
        <v>1</v>
      </c>
      <c r="F178" s="7">
        <v>3</v>
      </c>
      <c r="G178" s="8">
        <f>2/3</f>
        <v>0.66666666666666663</v>
      </c>
      <c r="H178" s="8">
        <f>1/3</f>
        <v>0.33333333333333331</v>
      </c>
      <c r="I178" s="8">
        <v>0</v>
      </c>
      <c r="J178" s="7">
        <v>27.4</v>
      </c>
      <c r="K178" s="7">
        <v>0.6</v>
      </c>
      <c r="L178" s="8">
        <v>12.25</v>
      </c>
      <c r="M178" s="12">
        <v>1</v>
      </c>
      <c r="N178" s="6">
        <v>5</v>
      </c>
      <c r="O178" s="6">
        <v>3</v>
      </c>
      <c r="P178" s="6">
        <v>3</v>
      </c>
      <c r="Q178" s="6">
        <v>5</v>
      </c>
      <c r="R178" s="6">
        <v>10</v>
      </c>
      <c r="S178" s="7">
        <v>2</v>
      </c>
      <c r="T178" s="6">
        <v>1</v>
      </c>
      <c r="U178" s="7">
        <v>0</v>
      </c>
      <c r="V178" s="6">
        <v>1</v>
      </c>
    </row>
    <row r="179" spans="1:22" ht="15.75">
      <c r="A179" s="10" t="s">
        <v>405</v>
      </c>
      <c r="B179" s="6" t="s">
        <v>4</v>
      </c>
      <c r="C179" s="7">
        <v>2</v>
      </c>
      <c r="D179" s="6">
        <v>1</v>
      </c>
      <c r="E179" s="7">
        <v>4</v>
      </c>
      <c r="F179" s="7">
        <v>7</v>
      </c>
      <c r="G179" s="8">
        <f>156/339</f>
        <v>0.46017699115044247</v>
      </c>
      <c r="H179" s="8">
        <f>97/339</f>
        <v>0.28613569321533922</v>
      </c>
      <c r="I179" s="8">
        <f>86/339</f>
        <v>0.25368731563421831</v>
      </c>
      <c r="J179" s="7">
        <v>24.08</v>
      </c>
      <c r="K179" s="7">
        <v>0.45</v>
      </c>
      <c r="L179" s="8">
        <v>2.06</v>
      </c>
      <c r="M179" s="12">
        <v>2</v>
      </c>
      <c r="N179" s="6">
        <v>5</v>
      </c>
      <c r="O179" s="6">
        <v>4</v>
      </c>
      <c r="P179" s="6">
        <v>4</v>
      </c>
      <c r="Q179" s="6">
        <v>7</v>
      </c>
      <c r="R179" s="6">
        <v>7</v>
      </c>
      <c r="S179" s="7">
        <v>2</v>
      </c>
      <c r="T179" s="6">
        <v>1</v>
      </c>
      <c r="U179" s="7">
        <v>0</v>
      </c>
      <c r="V179" s="6">
        <v>1</v>
      </c>
    </row>
    <row r="180" spans="1:22" ht="15.75">
      <c r="A180" s="11" t="s">
        <v>210</v>
      </c>
      <c r="B180" s="6" t="s">
        <v>38</v>
      </c>
      <c r="C180" s="7">
        <v>1</v>
      </c>
      <c r="D180" s="6">
        <v>1</v>
      </c>
      <c r="E180" s="7">
        <v>1</v>
      </c>
      <c r="F180" s="7">
        <v>4</v>
      </c>
      <c r="G180" s="8">
        <f>21/30</f>
        <v>0.7</v>
      </c>
      <c r="H180" s="8">
        <f>6/30</f>
        <v>0.2</v>
      </c>
      <c r="I180" s="8">
        <f>3/30</f>
        <v>0.1</v>
      </c>
      <c r="J180" s="7">
        <v>25.63</v>
      </c>
      <c r="K180" s="7">
        <v>0.6</v>
      </c>
      <c r="L180" s="8">
        <v>12.75</v>
      </c>
      <c r="M180" s="12">
        <v>2</v>
      </c>
      <c r="N180" s="6">
        <v>6</v>
      </c>
      <c r="O180" s="6">
        <v>2</v>
      </c>
      <c r="P180" s="6">
        <v>5</v>
      </c>
      <c r="Q180" s="6">
        <v>6</v>
      </c>
      <c r="R180" s="6">
        <v>5</v>
      </c>
      <c r="S180" s="7">
        <v>2</v>
      </c>
      <c r="T180" s="6">
        <v>0</v>
      </c>
      <c r="U180" s="7">
        <v>0</v>
      </c>
      <c r="V180" s="6">
        <v>1</v>
      </c>
    </row>
    <row r="181" spans="1:22" ht="15.75">
      <c r="A181" s="11" t="s">
        <v>211</v>
      </c>
      <c r="B181" s="6" t="s">
        <v>38</v>
      </c>
      <c r="C181" s="7">
        <v>1</v>
      </c>
      <c r="D181" s="6">
        <v>1</v>
      </c>
      <c r="E181" s="7">
        <v>2</v>
      </c>
      <c r="F181" s="7">
        <v>4</v>
      </c>
      <c r="G181" s="8" t="s">
        <v>2</v>
      </c>
      <c r="H181" s="8" t="s">
        <v>2</v>
      </c>
      <c r="I181" s="8" t="s">
        <v>2</v>
      </c>
      <c r="J181" s="7">
        <v>23</v>
      </c>
      <c r="K181" s="7">
        <v>0.55000000000000004</v>
      </c>
      <c r="L181" s="8">
        <v>2.9</v>
      </c>
      <c r="M181" s="12" t="s">
        <v>2</v>
      </c>
      <c r="N181" s="6">
        <v>6</v>
      </c>
      <c r="O181" s="6">
        <v>4</v>
      </c>
      <c r="P181" s="6">
        <v>5</v>
      </c>
      <c r="Q181" s="6">
        <v>7</v>
      </c>
      <c r="R181" s="6">
        <v>5</v>
      </c>
      <c r="S181" s="7">
        <v>2</v>
      </c>
      <c r="T181" s="6" t="s">
        <v>18</v>
      </c>
      <c r="U181" s="7">
        <v>0</v>
      </c>
      <c r="V181" s="6">
        <v>1</v>
      </c>
    </row>
    <row r="182" spans="1:22" ht="15.75">
      <c r="A182" s="11" t="s">
        <v>212</v>
      </c>
      <c r="B182" s="6" t="s">
        <v>213</v>
      </c>
      <c r="C182" s="7">
        <v>1</v>
      </c>
      <c r="D182" s="6">
        <v>2</v>
      </c>
      <c r="E182" s="7">
        <v>1</v>
      </c>
      <c r="F182" s="7" t="s">
        <v>2</v>
      </c>
      <c r="G182" s="8" t="s">
        <v>2</v>
      </c>
      <c r="H182" s="8" t="s">
        <v>2</v>
      </c>
      <c r="I182" s="8" t="s">
        <v>2</v>
      </c>
      <c r="J182" s="7">
        <v>16.100000000000001</v>
      </c>
      <c r="K182" s="7">
        <v>0.5</v>
      </c>
      <c r="L182" s="8" t="s">
        <v>2</v>
      </c>
      <c r="M182" s="12" t="s">
        <v>2</v>
      </c>
      <c r="N182" s="6">
        <v>4</v>
      </c>
      <c r="O182" s="6">
        <v>2</v>
      </c>
      <c r="P182" s="6">
        <v>5</v>
      </c>
      <c r="Q182" s="6">
        <v>10</v>
      </c>
      <c r="R182" s="6" t="s">
        <v>2</v>
      </c>
      <c r="S182" s="7">
        <v>2</v>
      </c>
      <c r="T182" s="6" t="s">
        <v>2</v>
      </c>
      <c r="U182" s="7">
        <v>0</v>
      </c>
      <c r="V182" s="6" t="s">
        <v>2</v>
      </c>
    </row>
    <row r="183" spans="1:22">
      <c r="A183" s="10" t="s">
        <v>214</v>
      </c>
      <c r="B183" s="6" t="s">
        <v>60</v>
      </c>
      <c r="C183" s="7">
        <v>2</v>
      </c>
      <c r="D183" s="6">
        <v>1</v>
      </c>
      <c r="E183" s="7">
        <v>5</v>
      </c>
      <c r="F183" s="7">
        <v>1</v>
      </c>
      <c r="G183" s="8">
        <f>223/289</f>
        <v>0.77162629757785473</v>
      </c>
      <c r="H183" s="8">
        <f>51/289</f>
        <v>0.17647058823529413</v>
      </c>
      <c r="I183" s="8">
        <f>15/289</f>
        <v>5.1903114186851208E-2</v>
      </c>
      <c r="J183" s="7">
        <v>29.44</v>
      </c>
      <c r="K183" s="7">
        <v>0.59</v>
      </c>
      <c r="L183" s="8">
        <v>0.99</v>
      </c>
      <c r="M183" s="12">
        <v>2</v>
      </c>
      <c r="N183" s="6">
        <v>5</v>
      </c>
      <c r="O183" s="6">
        <v>5</v>
      </c>
      <c r="P183" s="6">
        <v>3</v>
      </c>
      <c r="Q183" s="6">
        <v>4</v>
      </c>
      <c r="R183" s="6">
        <v>5</v>
      </c>
      <c r="S183" s="7">
        <v>2</v>
      </c>
      <c r="T183" s="6" t="s">
        <v>39</v>
      </c>
      <c r="U183" s="7">
        <v>0</v>
      </c>
      <c r="V183" s="6">
        <v>1</v>
      </c>
    </row>
    <row r="184" spans="1:22" ht="15.75">
      <c r="A184" s="11" t="s">
        <v>215</v>
      </c>
      <c r="B184" s="6" t="s">
        <v>60</v>
      </c>
      <c r="C184" s="7">
        <v>2</v>
      </c>
      <c r="D184" s="6">
        <v>1</v>
      </c>
      <c r="E184" s="7">
        <v>3</v>
      </c>
      <c r="F184" s="7">
        <v>7</v>
      </c>
      <c r="G184" s="8">
        <f>39/132</f>
        <v>0.29545454545454547</v>
      </c>
      <c r="H184" s="8">
        <f>50/132</f>
        <v>0.37878787878787878</v>
      </c>
      <c r="I184" s="8">
        <f>43/132</f>
        <v>0.32575757575757575</v>
      </c>
      <c r="J184" s="7">
        <v>24.67</v>
      </c>
      <c r="K184" s="7">
        <v>0.2</v>
      </c>
      <c r="L184" s="8">
        <v>0.4</v>
      </c>
      <c r="M184" s="12">
        <v>2</v>
      </c>
      <c r="N184" s="6">
        <v>5</v>
      </c>
      <c r="O184" s="6">
        <v>3</v>
      </c>
      <c r="P184" s="6">
        <v>3</v>
      </c>
      <c r="Q184" s="6">
        <v>5</v>
      </c>
      <c r="R184" s="6">
        <v>2</v>
      </c>
      <c r="S184" s="7">
        <v>2</v>
      </c>
      <c r="T184" s="6">
        <v>0</v>
      </c>
      <c r="U184" s="7">
        <v>0</v>
      </c>
      <c r="V184" s="6">
        <v>1</v>
      </c>
    </row>
    <row r="185" spans="1:22" ht="15.75">
      <c r="A185" s="11" t="s">
        <v>216</v>
      </c>
      <c r="B185" s="6" t="s">
        <v>60</v>
      </c>
      <c r="C185" s="7">
        <v>2</v>
      </c>
      <c r="D185" s="6">
        <v>1</v>
      </c>
      <c r="E185" s="7">
        <v>5</v>
      </c>
      <c r="F185" s="7">
        <v>1</v>
      </c>
      <c r="G185" s="8">
        <f>104/151</f>
        <v>0.6887417218543046</v>
      </c>
      <c r="H185" s="8">
        <f>27/151</f>
        <v>0.17880794701986755</v>
      </c>
      <c r="I185" s="8">
        <f>20/151</f>
        <v>0.13245033112582782</v>
      </c>
      <c r="J185" s="7">
        <v>24.09</v>
      </c>
      <c r="K185" s="7">
        <v>1.35</v>
      </c>
      <c r="L185" s="8">
        <v>1.86</v>
      </c>
      <c r="M185" s="12">
        <v>1</v>
      </c>
      <c r="N185" s="6">
        <v>6</v>
      </c>
      <c r="O185" s="6">
        <v>5</v>
      </c>
      <c r="P185" s="6">
        <v>3</v>
      </c>
      <c r="Q185" s="6">
        <v>3</v>
      </c>
      <c r="R185" s="6">
        <v>5</v>
      </c>
      <c r="S185" s="7">
        <v>2</v>
      </c>
      <c r="T185" s="6" t="s">
        <v>39</v>
      </c>
      <c r="U185" s="7">
        <v>0</v>
      </c>
      <c r="V185" s="6">
        <v>1</v>
      </c>
    </row>
    <row r="186" spans="1:22" ht="15.75">
      <c r="A186" s="10" t="s">
        <v>406</v>
      </c>
      <c r="B186" s="6" t="s">
        <v>60</v>
      </c>
      <c r="C186" s="7">
        <v>2</v>
      </c>
      <c r="D186" s="6">
        <v>1</v>
      </c>
      <c r="E186" s="7">
        <v>5</v>
      </c>
      <c r="F186" s="7">
        <v>1</v>
      </c>
      <c r="G186" s="8">
        <f>59/129</f>
        <v>0.4573643410852713</v>
      </c>
      <c r="H186" s="8">
        <f>45/129</f>
        <v>0.34883720930232559</v>
      </c>
      <c r="I186" s="8">
        <f>25/129</f>
        <v>0.19379844961240311</v>
      </c>
      <c r="J186" s="7">
        <v>29.73</v>
      </c>
      <c r="K186" s="7">
        <v>1.1000000000000001</v>
      </c>
      <c r="L186" s="8">
        <v>1.2</v>
      </c>
      <c r="M186" s="12">
        <v>1</v>
      </c>
      <c r="N186" s="6">
        <v>7</v>
      </c>
      <c r="O186" s="6">
        <v>6</v>
      </c>
      <c r="P186" s="6">
        <v>2</v>
      </c>
      <c r="Q186" s="6">
        <v>3</v>
      </c>
      <c r="R186" s="6">
        <v>9</v>
      </c>
      <c r="S186" s="7">
        <v>2</v>
      </c>
      <c r="T186" s="6" t="s">
        <v>39</v>
      </c>
      <c r="U186" s="7">
        <v>0</v>
      </c>
      <c r="V186" s="6">
        <v>1</v>
      </c>
    </row>
    <row r="187" spans="1:22" ht="15.75">
      <c r="A187" s="11" t="s">
        <v>217</v>
      </c>
      <c r="B187" s="6" t="s">
        <v>7</v>
      </c>
      <c r="C187" s="7">
        <v>1</v>
      </c>
      <c r="D187" s="6">
        <v>2</v>
      </c>
      <c r="E187" s="7">
        <v>1</v>
      </c>
      <c r="F187" s="7">
        <v>3</v>
      </c>
      <c r="G187" s="8">
        <v>0</v>
      </c>
      <c r="H187" s="8">
        <v>1</v>
      </c>
      <c r="I187" s="8">
        <v>0</v>
      </c>
      <c r="J187" s="7">
        <v>21.3</v>
      </c>
      <c r="K187" s="7">
        <v>0.1</v>
      </c>
      <c r="L187" s="8">
        <v>0.01</v>
      </c>
      <c r="M187" s="12" t="s">
        <v>2</v>
      </c>
      <c r="N187" s="6">
        <v>4</v>
      </c>
      <c r="O187" s="6">
        <v>3</v>
      </c>
      <c r="P187" s="6">
        <v>4</v>
      </c>
      <c r="Q187" s="6">
        <v>8</v>
      </c>
      <c r="R187" s="6">
        <v>5</v>
      </c>
      <c r="S187" s="7">
        <v>2</v>
      </c>
      <c r="T187" s="6">
        <v>0</v>
      </c>
      <c r="U187" s="7">
        <v>0</v>
      </c>
      <c r="V187" s="6">
        <v>1</v>
      </c>
    </row>
    <row r="188" spans="1:22" ht="15.75">
      <c r="A188" s="11" t="s">
        <v>218</v>
      </c>
      <c r="B188" s="6" t="s">
        <v>27</v>
      </c>
      <c r="C188" s="7">
        <v>2</v>
      </c>
      <c r="D188" s="6">
        <v>1</v>
      </c>
      <c r="E188" s="7">
        <v>3</v>
      </c>
      <c r="F188" s="7">
        <v>2</v>
      </c>
      <c r="G188" s="8">
        <f>2/11</f>
        <v>0.18181818181818182</v>
      </c>
      <c r="H188" s="8">
        <f>5/11</f>
        <v>0.45454545454545453</v>
      </c>
      <c r="I188" s="8">
        <f>4/11</f>
        <v>0.36363636363636365</v>
      </c>
      <c r="J188" s="7">
        <v>25.23</v>
      </c>
      <c r="K188" s="7">
        <v>0.48</v>
      </c>
      <c r="L188" s="8">
        <v>0.02</v>
      </c>
      <c r="M188" s="12">
        <v>2</v>
      </c>
      <c r="N188" s="6">
        <v>6</v>
      </c>
      <c r="O188" s="6">
        <v>4</v>
      </c>
      <c r="P188" s="6">
        <v>5</v>
      </c>
      <c r="Q188" s="6">
        <v>6</v>
      </c>
      <c r="R188" s="6">
        <v>6</v>
      </c>
      <c r="S188" s="7">
        <v>2</v>
      </c>
      <c r="T188" s="6">
        <v>1</v>
      </c>
      <c r="U188" s="7">
        <v>0</v>
      </c>
      <c r="V188" s="6">
        <v>1</v>
      </c>
    </row>
    <row r="189" spans="1:22" ht="15.75">
      <c r="A189" s="11" t="s">
        <v>219</v>
      </c>
      <c r="B189" s="6" t="s">
        <v>101</v>
      </c>
      <c r="C189" s="7">
        <v>2</v>
      </c>
      <c r="D189" s="13">
        <v>3</v>
      </c>
      <c r="E189" s="7">
        <v>5</v>
      </c>
      <c r="F189" s="7">
        <v>5</v>
      </c>
      <c r="G189" s="8">
        <v>1</v>
      </c>
      <c r="H189" s="8">
        <v>0</v>
      </c>
      <c r="I189" s="8">
        <v>0</v>
      </c>
      <c r="J189" s="7" t="s">
        <v>2</v>
      </c>
      <c r="K189" s="7">
        <v>1</v>
      </c>
      <c r="L189" s="8" t="s">
        <v>2</v>
      </c>
      <c r="M189" s="12" t="s">
        <v>2</v>
      </c>
      <c r="N189" s="6">
        <v>6</v>
      </c>
      <c r="O189" s="6">
        <v>3</v>
      </c>
      <c r="P189" s="6">
        <v>4</v>
      </c>
      <c r="Q189" s="6">
        <v>6</v>
      </c>
      <c r="R189" s="6" t="s">
        <v>2</v>
      </c>
      <c r="S189" s="7">
        <v>1</v>
      </c>
      <c r="T189" s="6" t="s">
        <v>2</v>
      </c>
      <c r="U189" s="7">
        <v>0</v>
      </c>
      <c r="V189" s="6" t="s">
        <v>2</v>
      </c>
    </row>
    <row r="190" spans="1:22">
      <c r="A190" s="11" t="s">
        <v>220</v>
      </c>
      <c r="B190" s="6" t="s">
        <v>14</v>
      </c>
      <c r="C190" s="7">
        <v>1</v>
      </c>
      <c r="D190" s="6">
        <v>3</v>
      </c>
      <c r="E190" s="7">
        <v>1</v>
      </c>
      <c r="F190" s="7" t="s">
        <v>2</v>
      </c>
      <c r="G190" s="7" t="s">
        <v>2</v>
      </c>
      <c r="H190" s="7" t="s">
        <v>2</v>
      </c>
      <c r="I190" s="7" t="s">
        <v>2</v>
      </c>
      <c r="J190" s="7">
        <v>25.97</v>
      </c>
      <c r="K190" s="7" t="s">
        <v>2</v>
      </c>
      <c r="L190" s="8">
        <v>20.9</v>
      </c>
      <c r="M190" s="12" t="s">
        <v>2</v>
      </c>
      <c r="N190" s="6">
        <v>5</v>
      </c>
      <c r="O190" s="6">
        <v>5</v>
      </c>
      <c r="P190" s="6">
        <v>2</v>
      </c>
      <c r="Q190" s="6">
        <v>3</v>
      </c>
      <c r="R190" s="6">
        <v>5</v>
      </c>
      <c r="S190" s="7">
        <v>1</v>
      </c>
      <c r="T190" s="6" t="s">
        <v>2</v>
      </c>
      <c r="U190" s="7">
        <v>0</v>
      </c>
      <c r="V190" s="6" t="s">
        <v>2</v>
      </c>
    </row>
    <row r="191" spans="1:22" ht="15.75">
      <c r="A191" s="11" t="s">
        <v>221</v>
      </c>
      <c r="B191" s="6" t="s">
        <v>25</v>
      </c>
      <c r="C191" s="7">
        <v>1</v>
      </c>
      <c r="D191" s="6">
        <v>1</v>
      </c>
      <c r="E191" s="7">
        <v>1</v>
      </c>
      <c r="F191" s="7">
        <v>3</v>
      </c>
      <c r="G191" s="8">
        <f>36/80</f>
        <v>0.45</v>
      </c>
      <c r="H191" s="8">
        <f>35/80</f>
        <v>0.4375</v>
      </c>
      <c r="I191" s="8">
        <f>9/80</f>
        <v>0.1125</v>
      </c>
      <c r="J191" s="7">
        <v>29.82</v>
      </c>
      <c r="K191" s="7">
        <v>0.3</v>
      </c>
      <c r="L191" s="8">
        <v>0.26</v>
      </c>
      <c r="M191" s="12">
        <v>1</v>
      </c>
      <c r="N191" s="6">
        <v>2</v>
      </c>
      <c r="O191" s="6">
        <v>1</v>
      </c>
      <c r="P191" s="6">
        <v>10</v>
      </c>
      <c r="Q191" s="6">
        <v>12</v>
      </c>
      <c r="R191" s="6">
        <v>8</v>
      </c>
      <c r="S191" s="7">
        <v>2</v>
      </c>
      <c r="T191" s="6">
        <v>1</v>
      </c>
      <c r="U191" s="7">
        <v>0</v>
      </c>
      <c r="V191" s="6">
        <v>1</v>
      </c>
    </row>
    <row r="192" spans="1:22" ht="15.75">
      <c r="A192" s="10" t="s">
        <v>222</v>
      </c>
      <c r="B192" s="6" t="s">
        <v>14</v>
      </c>
      <c r="C192" s="7">
        <v>1</v>
      </c>
      <c r="D192" s="13">
        <v>3</v>
      </c>
      <c r="E192" s="7">
        <v>1</v>
      </c>
      <c r="F192" s="7">
        <v>3</v>
      </c>
      <c r="G192" s="8">
        <f>3/16</f>
        <v>0.1875</v>
      </c>
      <c r="H192" s="8">
        <f>4/16</f>
        <v>0.25</v>
      </c>
      <c r="I192" s="8">
        <f>9/16</f>
        <v>0.5625</v>
      </c>
      <c r="J192" s="7">
        <v>22.58</v>
      </c>
      <c r="K192" s="7">
        <v>0.56999999999999995</v>
      </c>
      <c r="L192" s="8">
        <v>1.6</v>
      </c>
      <c r="M192" s="12" t="s">
        <v>2</v>
      </c>
      <c r="N192" s="6">
        <v>7</v>
      </c>
      <c r="O192" s="6">
        <v>6</v>
      </c>
      <c r="P192" s="6">
        <v>4</v>
      </c>
      <c r="Q192" s="6">
        <v>4</v>
      </c>
      <c r="R192" s="6">
        <v>6</v>
      </c>
      <c r="S192" s="7">
        <v>1</v>
      </c>
      <c r="T192" s="6">
        <v>1</v>
      </c>
      <c r="U192" s="7">
        <v>0</v>
      </c>
      <c r="V192" s="6">
        <v>0</v>
      </c>
    </row>
    <row r="193" spans="1:22" ht="15.75">
      <c r="A193" s="11" t="s">
        <v>223</v>
      </c>
      <c r="B193" s="6" t="s">
        <v>14</v>
      </c>
      <c r="C193" s="7">
        <v>1</v>
      </c>
      <c r="D193" s="13">
        <v>3</v>
      </c>
      <c r="E193" s="7">
        <v>1</v>
      </c>
      <c r="F193" s="7">
        <v>3</v>
      </c>
      <c r="G193" s="8">
        <f>10/44</f>
        <v>0.22727272727272727</v>
      </c>
      <c r="H193" s="8">
        <f>18/44</f>
        <v>0.40909090909090912</v>
      </c>
      <c r="I193" s="8">
        <f>16/44</f>
        <v>0.36363636363636365</v>
      </c>
      <c r="J193" s="7">
        <v>24.12</v>
      </c>
      <c r="K193" s="7">
        <v>0.85</v>
      </c>
      <c r="L193" s="8">
        <v>0.8</v>
      </c>
      <c r="M193" s="12" t="s">
        <v>2</v>
      </c>
      <c r="N193" s="6">
        <v>6</v>
      </c>
      <c r="O193" s="6">
        <v>6</v>
      </c>
      <c r="P193" s="6">
        <v>5</v>
      </c>
      <c r="Q193" s="6">
        <v>5</v>
      </c>
      <c r="R193" s="6">
        <v>7</v>
      </c>
      <c r="S193" s="7">
        <v>1</v>
      </c>
      <c r="T193" s="6">
        <v>1</v>
      </c>
      <c r="U193" s="7">
        <v>0</v>
      </c>
      <c r="V193" s="6">
        <v>0</v>
      </c>
    </row>
    <row r="194" spans="1:22" ht="15.75">
      <c r="A194" s="11" t="s">
        <v>224</v>
      </c>
      <c r="B194" s="6" t="s">
        <v>135</v>
      </c>
      <c r="C194" s="7">
        <v>1</v>
      </c>
      <c r="D194" s="6">
        <v>2</v>
      </c>
      <c r="E194" s="7">
        <v>1</v>
      </c>
      <c r="F194" s="7">
        <v>3</v>
      </c>
      <c r="G194" s="8">
        <f>4/5</f>
        <v>0.8</v>
      </c>
      <c r="H194" s="8">
        <f>1/5</f>
        <v>0.2</v>
      </c>
      <c r="I194" s="8">
        <v>0</v>
      </c>
      <c r="J194" s="7">
        <v>22.47</v>
      </c>
      <c r="K194" s="7">
        <v>0.3</v>
      </c>
      <c r="L194" s="8">
        <v>2.0499999999999998</v>
      </c>
      <c r="M194" s="12" t="s">
        <v>2</v>
      </c>
      <c r="N194" s="6">
        <v>6</v>
      </c>
      <c r="O194" s="6">
        <v>4</v>
      </c>
      <c r="P194" s="6">
        <v>5</v>
      </c>
      <c r="Q194" s="6">
        <v>6</v>
      </c>
      <c r="R194" s="6">
        <v>5</v>
      </c>
      <c r="S194" s="7">
        <v>2</v>
      </c>
      <c r="T194" s="6">
        <v>1</v>
      </c>
      <c r="U194" s="7">
        <v>0</v>
      </c>
      <c r="V194" s="6">
        <v>1</v>
      </c>
    </row>
    <row r="195" spans="1:22" ht="15.75">
      <c r="A195" s="11" t="s">
        <v>225</v>
      </c>
      <c r="B195" s="6" t="s">
        <v>25</v>
      </c>
      <c r="C195" s="7">
        <v>2</v>
      </c>
      <c r="D195" s="13">
        <v>1</v>
      </c>
      <c r="E195" s="7">
        <v>2</v>
      </c>
      <c r="F195" s="7">
        <v>4</v>
      </c>
      <c r="G195" s="8" t="s">
        <v>2</v>
      </c>
      <c r="H195" s="8" t="s">
        <v>2</v>
      </c>
      <c r="I195" s="8" t="s">
        <v>2</v>
      </c>
      <c r="J195" s="7" t="s">
        <v>2</v>
      </c>
      <c r="K195" s="7">
        <v>1.4</v>
      </c>
      <c r="L195" s="8">
        <v>32.4</v>
      </c>
      <c r="M195" s="12" t="s">
        <v>2</v>
      </c>
      <c r="N195" s="6">
        <v>7</v>
      </c>
      <c r="O195" s="6">
        <v>5</v>
      </c>
      <c r="P195" s="6">
        <v>2</v>
      </c>
      <c r="Q195" s="6">
        <v>4</v>
      </c>
      <c r="R195" s="6" t="s">
        <v>2</v>
      </c>
      <c r="S195" s="7">
        <v>2</v>
      </c>
      <c r="T195" s="6">
        <v>1</v>
      </c>
      <c r="U195" s="7">
        <v>0</v>
      </c>
      <c r="V195" s="6">
        <v>1</v>
      </c>
    </row>
    <row r="196" spans="1:22" ht="15.75">
      <c r="A196" s="10" t="s">
        <v>407</v>
      </c>
      <c r="B196" s="6" t="s">
        <v>38</v>
      </c>
      <c r="C196" s="7">
        <v>1</v>
      </c>
      <c r="D196" s="6">
        <v>2</v>
      </c>
      <c r="E196" s="7">
        <v>1</v>
      </c>
      <c r="F196" s="7">
        <v>4</v>
      </c>
      <c r="G196" s="8">
        <f>1/3</f>
        <v>0.33333333333333331</v>
      </c>
      <c r="H196" s="8">
        <v>0</v>
      </c>
      <c r="I196" s="8">
        <f>2/3</f>
        <v>0.66666666666666663</v>
      </c>
      <c r="J196" s="7">
        <v>20.350000000000001</v>
      </c>
      <c r="K196" s="7">
        <v>0.6</v>
      </c>
      <c r="L196" s="8">
        <v>5.53</v>
      </c>
      <c r="M196" s="12">
        <v>2</v>
      </c>
      <c r="N196" s="6">
        <v>6</v>
      </c>
      <c r="O196" s="6">
        <v>3</v>
      </c>
      <c r="P196" s="6">
        <v>2</v>
      </c>
      <c r="Q196" s="6">
        <v>5</v>
      </c>
      <c r="R196" s="6">
        <v>2</v>
      </c>
      <c r="S196" s="7">
        <v>2</v>
      </c>
      <c r="T196" s="6">
        <v>0</v>
      </c>
      <c r="U196" s="7">
        <v>0</v>
      </c>
      <c r="V196" s="6">
        <v>1</v>
      </c>
    </row>
    <row r="197" spans="1:22" ht="15.75">
      <c r="A197" s="10" t="s">
        <v>226</v>
      </c>
      <c r="B197" s="6" t="s">
        <v>38</v>
      </c>
      <c r="C197" s="7">
        <v>1</v>
      </c>
      <c r="D197" s="6">
        <v>2</v>
      </c>
      <c r="E197" s="7">
        <v>1</v>
      </c>
      <c r="F197" s="7">
        <v>4</v>
      </c>
      <c r="G197" s="8">
        <f>9/52</f>
        <v>0.17307692307692307</v>
      </c>
      <c r="H197" s="8">
        <f>13/52</f>
        <v>0.25</v>
      </c>
      <c r="I197" s="8">
        <f>30/52</f>
        <v>0.57692307692307687</v>
      </c>
      <c r="J197" s="7">
        <v>39</v>
      </c>
      <c r="K197" s="7">
        <v>0.6</v>
      </c>
      <c r="L197" s="8">
        <v>1.85</v>
      </c>
      <c r="M197" s="12">
        <v>1</v>
      </c>
      <c r="N197" s="6">
        <v>6</v>
      </c>
      <c r="O197" s="6">
        <v>1</v>
      </c>
      <c r="P197" s="6">
        <v>5</v>
      </c>
      <c r="Q197" s="6">
        <v>12</v>
      </c>
      <c r="R197" s="6">
        <v>6</v>
      </c>
      <c r="S197" s="7">
        <v>2</v>
      </c>
      <c r="T197" s="6">
        <v>0</v>
      </c>
      <c r="U197" s="7">
        <v>0</v>
      </c>
      <c r="V197" s="6">
        <v>1</v>
      </c>
    </row>
    <row r="198" spans="1:22" ht="15.75">
      <c r="A198" s="11" t="s">
        <v>227</v>
      </c>
      <c r="B198" s="6" t="s">
        <v>103</v>
      </c>
      <c r="C198" s="7">
        <v>1</v>
      </c>
      <c r="D198" s="6">
        <v>2</v>
      </c>
      <c r="E198" s="7">
        <v>1</v>
      </c>
      <c r="F198" s="7">
        <v>3</v>
      </c>
      <c r="G198" s="8">
        <f>14/53</f>
        <v>0.26415094339622641</v>
      </c>
      <c r="H198" s="8">
        <f>21/53</f>
        <v>0.39622641509433965</v>
      </c>
      <c r="I198" s="8">
        <f>18/53</f>
        <v>0.33962264150943394</v>
      </c>
      <c r="J198" s="7">
        <v>25.23</v>
      </c>
      <c r="K198" s="7">
        <v>0.65</v>
      </c>
      <c r="L198" s="8">
        <v>0.83</v>
      </c>
      <c r="M198" s="12">
        <v>2</v>
      </c>
      <c r="N198" s="6">
        <v>6</v>
      </c>
      <c r="O198" s="6">
        <v>5</v>
      </c>
      <c r="P198" s="6">
        <v>5</v>
      </c>
      <c r="Q198" s="6">
        <v>7</v>
      </c>
      <c r="R198" s="6">
        <v>7</v>
      </c>
      <c r="S198" s="7">
        <v>2</v>
      </c>
      <c r="T198" s="6">
        <v>0</v>
      </c>
      <c r="U198" s="7">
        <v>0</v>
      </c>
      <c r="V198" s="6">
        <v>1</v>
      </c>
    </row>
    <row r="199" spans="1:22" ht="15.75">
      <c r="A199" s="11" t="s">
        <v>408</v>
      </c>
      <c r="B199" s="6" t="s">
        <v>103</v>
      </c>
      <c r="C199" s="7">
        <v>3</v>
      </c>
      <c r="D199" s="6">
        <v>2</v>
      </c>
      <c r="E199" s="7">
        <v>3</v>
      </c>
      <c r="F199" s="7">
        <v>4</v>
      </c>
      <c r="G199" s="8">
        <v>1</v>
      </c>
      <c r="H199" s="8">
        <v>0</v>
      </c>
      <c r="I199" s="8">
        <v>0</v>
      </c>
      <c r="J199" s="7">
        <v>23.66</v>
      </c>
      <c r="K199" s="7">
        <v>0.85</v>
      </c>
      <c r="L199" s="8">
        <v>0.7</v>
      </c>
      <c r="M199" s="12" t="s">
        <v>2</v>
      </c>
      <c r="N199" s="6">
        <v>6</v>
      </c>
      <c r="O199" s="6">
        <v>6</v>
      </c>
      <c r="P199" s="6">
        <v>2</v>
      </c>
      <c r="Q199" s="6">
        <v>4</v>
      </c>
      <c r="R199" s="6">
        <v>10</v>
      </c>
      <c r="S199" s="7">
        <v>2</v>
      </c>
      <c r="T199" s="6" t="s">
        <v>2</v>
      </c>
      <c r="U199" s="7">
        <v>0</v>
      </c>
      <c r="V199" s="6" t="s">
        <v>2</v>
      </c>
    </row>
    <row r="200" spans="1:22" ht="15.75">
      <c r="A200" s="11" t="s">
        <v>228</v>
      </c>
      <c r="B200" s="6" t="s">
        <v>25</v>
      </c>
      <c r="C200" s="7">
        <v>2</v>
      </c>
      <c r="D200" s="6">
        <v>1</v>
      </c>
      <c r="E200" s="7">
        <v>5</v>
      </c>
      <c r="F200" s="7">
        <v>4</v>
      </c>
      <c r="G200" s="8">
        <f>8/36</f>
        <v>0.22222222222222221</v>
      </c>
      <c r="H200" s="8">
        <f>20/36</f>
        <v>0.55555555555555558</v>
      </c>
      <c r="I200" s="8">
        <f>8/36</f>
        <v>0.22222222222222221</v>
      </c>
      <c r="J200" s="7">
        <v>21.7</v>
      </c>
      <c r="K200" s="7">
        <v>1.3</v>
      </c>
      <c r="L200" s="8">
        <v>0.55000000000000004</v>
      </c>
      <c r="M200" s="12">
        <v>2</v>
      </c>
      <c r="N200" s="6">
        <v>7</v>
      </c>
      <c r="O200" s="6">
        <v>7</v>
      </c>
      <c r="P200" s="6">
        <v>4</v>
      </c>
      <c r="Q200" s="6">
        <v>2</v>
      </c>
      <c r="R200" s="6">
        <v>10</v>
      </c>
      <c r="S200" s="7">
        <v>2</v>
      </c>
      <c r="T200" s="6">
        <v>1</v>
      </c>
      <c r="U200" s="7">
        <v>0</v>
      </c>
      <c r="V200" s="6">
        <v>1</v>
      </c>
    </row>
    <row r="201" spans="1:22" ht="15.75">
      <c r="A201" s="11" t="s">
        <v>229</v>
      </c>
      <c r="B201" s="6" t="s">
        <v>25</v>
      </c>
      <c r="C201" s="7">
        <v>1</v>
      </c>
      <c r="D201" s="6">
        <v>1</v>
      </c>
      <c r="E201" s="7">
        <v>1</v>
      </c>
      <c r="F201" s="7">
        <v>4</v>
      </c>
      <c r="G201" s="8">
        <f>42/86</f>
        <v>0.48837209302325579</v>
      </c>
      <c r="H201" s="8">
        <f>31/86</f>
        <v>0.36046511627906974</v>
      </c>
      <c r="I201" s="8">
        <f>13/86</f>
        <v>0.15116279069767441</v>
      </c>
      <c r="J201" s="7">
        <v>24.97</v>
      </c>
      <c r="K201" s="7">
        <v>0.7</v>
      </c>
      <c r="L201" s="8">
        <v>0.31</v>
      </c>
      <c r="M201" s="12">
        <v>1</v>
      </c>
      <c r="N201" s="6">
        <v>6</v>
      </c>
      <c r="O201" s="6" t="s">
        <v>230</v>
      </c>
      <c r="P201" s="6">
        <v>5</v>
      </c>
      <c r="Q201" s="6" t="s">
        <v>231</v>
      </c>
      <c r="R201" s="6">
        <v>7</v>
      </c>
      <c r="S201" s="7">
        <v>2</v>
      </c>
      <c r="T201" s="6">
        <v>1</v>
      </c>
      <c r="U201" s="7">
        <v>0</v>
      </c>
      <c r="V201" s="6">
        <v>1</v>
      </c>
    </row>
    <row r="202" spans="1:22" ht="15.75">
      <c r="A202" s="11" t="s">
        <v>232</v>
      </c>
      <c r="B202" s="6" t="s">
        <v>25</v>
      </c>
      <c r="C202" s="7">
        <v>1</v>
      </c>
      <c r="D202" s="6">
        <v>1</v>
      </c>
      <c r="E202" s="7">
        <v>1</v>
      </c>
      <c r="F202" s="7">
        <v>4</v>
      </c>
      <c r="G202" s="8">
        <f>14/57</f>
        <v>0.24561403508771928</v>
      </c>
      <c r="H202" s="8">
        <f>28/57</f>
        <v>0.49122807017543857</v>
      </c>
      <c r="I202" s="8">
        <f>15/57</f>
        <v>0.26315789473684209</v>
      </c>
      <c r="J202" s="7">
        <v>40.53</v>
      </c>
      <c r="K202" s="7">
        <v>1.37</v>
      </c>
      <c r="L202" s="8">
        <v>0.32</v>
      </c>
      <c r="M202" s="12">
        <v>1</v>
      </c>
      <c r="N202" s="6">
        <v>6</v>
      </c>
      <c r="O202" s="6">
        <v>2</v>
      </c>
      <c r="P202" s="6">
        <v>5</v>
      </c>
      <c r="Q202" s="6">
        <v>11</v>
      </c>
      <c r="R202" s="6">
        <v>8</v>
      </c>
      <c r="S202" s="7">
        <v>2</v>
      </c>
      <c r="T202" s="6">
        <v>1</v>
      </c>
      <c r="U202" s="7">
        <v>0</v>
      </c>
      <c r="V202" s="6">
        <v>1</v>
      </c>
    </row>
    <row r="203" spans="1:22" ht="15.75">
      <c r="A203" s="11" t="s">
        <v>233</v>
      </c>
      <c r="B203" s="6" t="s">
        <v>25</v>
      </c>
      <c r="C203" s="7">
        <v>4</v>
      </c>
      <c r="D203" s="6">
        <v>1</v>
      </c>
      <c r="E203" s="7">
        <v>1</v>
      </c>
      <c r="F203" s="7" t="s">
        <v>186</v>
      </c>
      <c r="G203" s="8" t="s">
        <v>2</v>
      </c>
      <c r="H203" s="7" t="s">
        <v>2</v>
      </c>
      <c r="I203" s="7" t="s">
        <v>2</v>
      </c>
      <c r="J203" s="7" t="s">
        <v>2</v>
      </c>
      <c r="K203" s="7">
        <v>0.8</v>
      </c>
      <c r="L203" s="8" t="s">
        <v>2</v>
      </c>
      <c r="M203" s="12" t="s">
        <v>2</v>
      </c>
      <c r="N203" s="6">
        <v>1</v>
      </c>
      <c r="O203" s="6">
        <v>1</v>
      </c>
      <c r="P203" s="6">
        <v>11</v>
      </c>
      <c r="Q203" s="6">
        <v>12</v>
      </c>
      <c r="R203" s="6">
        <v>4</v>
      </c>
      <c r="S203" s="7">
        <v>2</v>
      </c>
      <c r="T203" s="6" t="s">
        <v>2</v>
      </c>
      <c r="U203" s="7">
        <v>0</v>
      </c>
      <c r="V203" s="6" t="s">
        <v>2</v>
      </c>
    </row>
    <row r="204" spans="1:22" ht="15.75">
      <c r="A204" s="11" t="s">
        <v>234</v>
      </c>
      <c r="B204" s="6" t="s">
        <v>14</v>
      </c>
      <c r="C204" s="7">
        <v>3</v>
      </c>
      <c r="D204" s="13">
        <v>3</v>
      </c>
      <c r="E204" s="7">
        <v>5</v>
      </c>
      <c r="F204" s="7">
        <v>1</v>
      </c>
      <c r="G204" s="8">
        <v>0</v>
      </c>
      <c r="H204" s="8">
        <f>3/5</f>
        <v>0.6</v>
      </c>
      <c r="I204" s="8">
        <f>2/5</f>
        <v>0.4</v>
      </c>
      <c r="J204" s="7" t="s">
        <v>2</v>
      </c>
      <c r="K204" s="7">
        <v>2.2000000000000002</v>
      </c>
      <c r="L204" s="8">
        <v>3.8</v>
      </c>
      <c r="M204" s="12" t="s">
        <v>2</v>
      </c>
      <c r="N204" s="6">
        <v>7</v>
      </c>
      <c r="O204" s="6">
        <v>5</v>
      </c>
      <c r="P204" s="6">
        <v>3</v>
      </c>
      <c r="Q204" s="6">
        <v>6</v>
      </c>
      <c r="R204" s="6">
        <v>8</v>
      </c>
      <c r="S204" s="7">
        <v>1</v>
      </c>
      <c r="T204" s="6">
        <v>1</v>
      </c>
      <c r="U204" s="7">
        <v>0</v>
      </c>
      <c r="V204" s="6">
        <v>0</v>
      </c>
    </row>
    <row r="205" spans="1:22" ht="15.75">
      <c r="A205" s="11" t="s">
        <v>235</v>
      </c>
      <c r="B205" s="6" t="s">
        <v>14</v>
      </c>
      <c r="C205" s="7">
        <v>1</v>
      </c>
      <c r="D205" s="6">
        <v>2</v>
      </c>
      <c r="E205" s="7">
        <v>1</v>
      </c>
      <c r="F205" s="7" t="s">
        <v>109</v>
      </c>
      <c r="G205" s="8" t="s">
        <v>2</v>
      </c>
      <c r="H205" s="8" t="s">
        <v>2</v>
      </c>
      <c r="I205" s="8" t="s">
        <v>2</v>
      </c>
      <c r="J205" s="7">
        <v>22.81</v>
      </c>
      <c r="K205" s="7">
        <v>3</v>
      </c>
      <c r="L205" s="8">
        <v>14.5</v>
      </c>
      <c r="M205" s="12" t="s">
        <v>2</v>
      </c>
      <c r="N205" s="6" t="s">
        <v>2</v>
      </c>
      <c r="O205" s="6">
        <v>7</v>
      </c>
      <c r="P205" s="6" t="s">
        <v>2</v>
      </c>
      <c r="Q205" s="6">
        <v>4</v>
      </c>
      <c r="R205" s="7" t="s">
        <v>2</v>
      </c>
      <c r="S205" s="7">
        <v>1</v>
      </c>
      <c r="T205" s="6" t="s">
        <v>2</v>
      </c>
      <c r="U205" s="7">
        <v>0</v>
      </c>
      <c r="V205" s="6" t="s">
        <v>2</v>
      </c>
    </row>
    <row r="206" spans="1:22" ht="15.75">
      <c r="A206" s="11" t="s">
        <v>236</v>
      </c>
      <c r="B206" s="6" t="s">
        <v>7</v>
      </c>
      <c r="C206" s="7">
        <v>1</v>
      </c>
      <c r="D206" s="6">
        <v>2</v>
      </c>
      <c r="E206" s="7">
        <v>1</v>
      </c>
      <c r="F206" s="7">
        <v>6</v>
      </c>
      <c r="G206" s="8">
        <f>7/54</f>
        <v>0.12962962962962962</v>
      </c>
      <c r="H206" s="8">
        <f>19/54</f>
        <v>0.35185185185185186</v>
      </c>
      <c r="I206" s="8">
        <f>28/54</f>
        <v>0.51851851851851849</v>
      </c>
      <c r="J206" s="7">
        <v>18.88</v>
      </c>
      <c r="K206" s="7">
        <v>0.48</v>
      </c>
      <c r="L206" s="8">
        <v>0.41</v>
      </c>
      <c r="M206" s="12">
        <v>1</v>
      </c>
      <c r="N206" s="6">
        <v>6</v>
      </c>
      <c r="O206" s="6">
        <v>3</v>
      </c>
      <c r="P206" s="6">
        <v>5</v>
      </c>
      <c r="Q206" s="6">
        <v>6</v>
      </c>
      <c r="R206" s="6">
        <v>6</v>
      </c>
      <c r="S206" s="7">
        <v>2</v>
      </c>
      <c r="T206" s="6" t="s">
        <v>39</v>
      </c>
      <c r="U206" s="7">
        <v>0</v>
      </c>
      <c r="V206" s="6">
        <v>1</v>
      </c>
    </row>
    <row r="207" spans="1:22" ht="15.75">
      <c r="A207" s="11" t="s">
        <v>237</v>
      </c>
      <c r="B207" s="6" t="s">
        <v>7</v>
      </c>
      <c r="C207" s="6">
        <v>1</v>
      </c>
      <c r="D207" s="6">
        <v>2</v>
      </c>
      <c r="E207" s="7">
        <v>3</v>
      </c>
      <c r="F207" s="7">
        <v>3</v>
      </c>
      <c r="G207" s="8">
        <v>0</v>
      </c>
      <c r="H207" s="8">
        <f>16/17</f>
        <v>0.94117647058823528</v>
      </c>
      <c r="I207" s="8">
        <f>1/17</f>
        <v>5.8823529411764705E-2</v>
      </c>
      <c r="J207" s="7">
        <v>18.3</v>
      </c>
      <c r="K207" s="7">
        <v>0.23</v>
      </c>
      <c r="L207" s="8">
        <v>0.01</v>
      </c>
      <c r="M207" s="12" t="s">
        <v>2</v>
      </c>
      <c r="N207" s="6">
        <v>5</v>
      </c>
      <c r="O207" s="6">
        <v>5</v>
      </c>
      <c r="P207" s="6">
        <v>5</v>
      </c>
      <c r="Q207" s="6">
        <v>4</v>
      </c>
      <c r="R207" s="6">
        <v>4</v>
      </c>
      <c r="S207" s="7">
        <v>2</v>
      </c>
      <c r="T207" s="6" t="s">
        <v>39</v>
      </c>
      <c r="U207" s="7">
        <v>0</v>
      </c>
      <c r="V207" s="6">
        <v>1</v>
      </c>
    </row>
    <row r="208" spans="1:22" ht="15.75">
      <c r="A208" s="22" t="s">
        <v>238</v>
      </c>
      <c r="B208" s="6" t="s">
        <v>9</v>
      </c>
      <c r="C208" s="7">
        <v>1</v>
      </c>
      <c r="D208" s="6">
        <v>2</v>
      </c>
      <c r="E208" s="7">
        <v>1</v>
      </c>
      <c r="F208" s="7">
        <v>3</v>
      </c>
      <c r="G208" s="8">
        <f>3/10</f>
        <v>0.3</v>
      </c>
      <c r="H208" s="8">
        <f>2/10</f>
        <v>0.2</v>
      </c>
      <c r="I208" s="8">
        <f>5/10</f>
        <v>0.5</v>
      </c>
      <c r="J208" s="7">
        <v>29.8</v>
      </c>
      <c r="K208" s="7">
        <v>0.25</v>
      </c>
      <c r="L208" s="8">
        <v>0.7</v>
      </c>
      <c r="M208" s="12">
        <v>2</v>
      </c>
      <c r="N208" s="6">
        <v>7</v>
      </c>
      <c r="O208" s="6">
        <v>3</v>
      </c>
      <c r="P208" s="6">
        <v>4</v>
      </c>
      <c r="Q208" s="6" t="s">
        <v>239</v>
      </c>
      <c r="R208" s="6">
        <v>6</v>
      </c>
      <c r="S208" s="7">
        <v>2</v>
      </c>
      <c r="T208" s="6" t="s">
        <v>10</v>
      </c>
      <c r="U208" s="7">
        <v>0</v>
      </c>
      <c r="V208" s="6">
        <v>1</v>
      </c>
    </row>
    <row r="209" spans="1:22" ht="15.75">
      <c r="A209" s="11" t="s">
        <v>240</v>
      </c>
      <c r="B209" s="6" t="s">
        <v>9</v>
      </c>
      <c r="C209" s="7">
        <v>3</v>
      </c>
      <c r="D209" s="6">
        <v>2</v>
      </c>
      <c r="E209" s="7">
        <v>3</v>
      </c>
      <c r="F209" s="7">
        <v>1</v>
      </c>
      <c r="G209" s="8">
        <f>45/47</f>
        <v>0.95744680851063835</v>
      </c>
      <c r="H209" s="8">
        <v>0</v>
      </c>
      <c r="I209" s="8">
        <f>2/47</f>
        <v>4.2553191489361701E-2</v>
      </c>
      <c r="J209" s="7">
        <v>36</v>
      </c>
      <c r="K209" s="7">
        <v>0.9</v>
      </c>
      <c r="L209" s="8">
        <v>1.04</v>
      </c>
      <c r="M209" s="12">
        <v>2</v>
      </c>
      <c r="N209" s="6">
        <v>6</v>
      </c>
      <c r="O209" s="6">
        <v>6</v>
      </c>
      <c r="P209" s="6">
        <v>4</v>
      </c>
      <c r="Q209" s="6">
        <v>4</v>
      </c>
      <c r="R209" s="6">
        <v>7</v>
      </c>
      <c r="S209" s="7">
        <v>2</v>
      </c>
      <c r="T209" s="6">
        <v>1</v>
      </c>
      <c r="U209" s="7">
        <v>0</v>
      </c>
      <c r="V209" s="6">
        <v>1</v>
      </c>
    </row>
    <row r="210" spans="1:22" ht="15.75">
      <c r="A210" s="11" t="s">
        <v>241</v>
      </c>
      <c r="B210" s="6" t="s">
        <v>7</v>
      </c>
      <c r="C210" s="7">
        <v>1</v>
      </c>
      <c r="D210" s="6">
        <v>1</v>
      </c>
      <c r="E210" s="7">
        <v>1</v>
      </c>
      <c r="F210" s="7">
        <v>4</v>
      </c>
      <c r="G210" s="8">
        <f>76/266</f>
        <v>0.2857142857142857</v>
      </c>
      <c r="H210" s="8">
        <f>139/266</f>
        <v>0.52255639097744366</v>
      </c>
      <c r="I210" s="8">
        <f>51/266</f>
        <v>0.19172932330827067</v>
      </c>
      <c r="J210" s="7">
        <v>53.68</v>
      </c>
      <c r="K210" s="7">
        <v>0.4</v>
      </c>
      <c r="L210" s="8">
        <v>0.42</v>
      </c>
      <c r="M210" s="12">
        <v>1</v>
      </c>
      <c r="N210" s="6">
        <v>1</v>
      </c>
      <c r="O210" s="6">
        <v>1</v>
      </c>
      <c r="P210" s="6">
        <v>12</v>
      </c>
      <c r="Q210" s="6">
        <v>12</v>
      </c>
      <c r="R210" s="6">
        <v>8</v>
      </c>
      <c r="S210" s="7">
        <v>2</v>
      </c>
      <c r="T210" s="6">
        <v>0</v>
      </c>
      <c r="U210" s="7">
        <v>0</v>
      </c>
      <c r="V210" s="6">
        <v>1</v>
      </c>
    </row>
    <row r="211" spans="1:22" ht="15.75">
      <c r="A211" s="11" t="s">
        <v>242</v>
      </c>
      <c r="B211" s="6" t="s">
        <v>25</v>
      </c>
      <c r="C211" s="7">
        <v>2</v>
      </c>
      <c r="D211" s="6">
        <v>1</v>
      </c>
      <c r="E211" s="7">
        <v>3</v>
      </c>
      <c r="F211" s="7">
        <v>7</v>
      </c>
      <c r="G211" s="19">
        <f>249/338</f>
        <v>0.73668639053254437</v>
      </c>
      <c r="H211" s="19">
        <f>69/338</f>
        <v>0.20414201183431951</v>
      </c>
      <c r="I211" s="19">
        <f>20/338</f>
        <v>5.9171597633136092E-2</v>
      </c>
      <c r="J211" s="7">
        <v>29.07</v>
      </c>
      <c r="K211" s="7">
        <v>0.4</v>
      </c>
      <c r="L211" s="8">
        <v>0.7</v>
      </c>
      <c r="M211" s="12">
        <v>2</v>
      </c>
      <c r="N211" s="6">
        <v>2</v>
      </c>
      <c r="O211" s="6" t="s">
        <v>56</v>
      </c>
      <c r="P211" s="6">
        <v>3</v>
      </c>
      <c r="Q211" s="6" t="s">
        <v>243</v>
      </c>
      <c r="R211" s="6">
        <v>7</v>
      </c>
      <c r="S211" s="7">
        <v>2</v>
      </c>
      <c r="T211" s="20" t="s">
        <v>2</v>
      </c>
      <c r="U211" s="7">
        <v>0</v>
      </c>
      <c r="V211" s="20" t="s">
        <v>2</v>
      </c>
    </row>
    <row r="212" spans="1:22" ht="15.75">
      <c r="A212" s="11" t="s">
        <v>244</v>
      </c>
      <c r="B212" s="6" t="s">
        <v>38</v>
      </c>
      <c r="C212" s="7">
        <v>1</v>
      </c>
      <c r="D212" s="6">
        <v>1</v>
      </c>
      <c r="E212" s="7">
        <v>1</v>
      </c>
      <c r="F212" s="7">
        <v>3</v>
      </c>
      <c r="G212" s="8">
        <f>9/73</f>
        <v>0.12328767123287671</v>
      </c>
      <c r="H212" s="8">
        <f>37/73</f>
        <v>0.50684931506849318</v>
      </c>
      <c r="I212" s="8">
        <f>27/73</f>
        <v>0.36986301369863012</v>
      </c>
      <c r="J212" s="7">
        <v>24.57</v>
      </c>
      <c r="K212" s="7">
        <v>0.43</v>
      </c>
      <c r="L212" s="8">
        <v>1.23</v>
      </c>
      <c r="M212" s="12">
        <v>1</v>
      </c>
      <c r="N212" s="6">
        <v>4</v>
      </c>
      <c r="O212" s="6">
        <v>3</v>
      </c>
      <c r="P212" s="6">
        <v>5</v>
      </c>
      <c r="Q212" s="6">
        <v>4</v>
      </c>
      <c r="R212" s="6">
        <v>7</v>
      </c>
      <c r="S212" s="7">
        <v>2</v>
      </c>
      <c r="T212" s="6">
        <v>0</v>
      </c>
      <c r="U212" s="7">
        <v>0</v>
      </c>
      <c r="V212" s="6">
        <v>1</v>
      </c>
    </row>
    <row r="213" spans="1:22" ht="15.75">
      <c r="A213" s="11" t="s">
        <v>245</v>
      </c>
      <c r="B213" s="6" t="s">
        <v>141</v>
      </c>
      <c r="C213" s="7">
        <v>1</v>
      </c>
      <c r="D213" s="6">
        <v>1</v>
      </c>
      <c r="E213" s="7">
        <v>1</v>
      </c>
      <c r="F213" s="7">
        <v>6</v>
      </c>
      <c r="G213" s="8">
        <f>28/55</f>
        <v>0.50909090909090904</v>
      </c>
      <c r="H213" s="8">
        <f>11/55</f>
        <v>0.2</v>
      </c>
      <c r="I213" s="8">
        <f>16/55</f>
        <v>0.29090909090909089</v>
      </c>
      <c r="J213" s="7">
        <v>18.04</v>
      </c>
      <c r="K213" s="7">
        <v>0.25</v>
      </c>
      <c r="L213" s="8">
        <v>0.4</v>
      </c>
      <c r="M213" s="12">
        <v>3</v>
      </c>
      <c r="N213" s="6">
        <v>6</v>
      </c>
      <c r="O213" s="6">
        <v>4</v>
      </c>
      <c r="P213" s="6">
        <v>4</v>
      </c>
      <c r="Q213" s="6">
        <v>6</v>
      </c>
      <c r="R213" s="6">
        <v>1</v>
      </c>
      <c r="S213" s="7">
        <v>2</v>
      </c>
      <c r="T213" s="6">
        <v>1</v>
      </c>
      <c r="U213" s="7">
        <v>1</v>
      </c>
      <c r="V213" s="6">
        <v>1</v>
      </c>
    </row>
    <row r="214" spans="1:22" ht="15.75">
      <c r="A214" s="11" t="s">
        <v>246</v>
      </c>
      <c r="B214" s="6" t="s">
        <v>141</v>
      </c>
      <c r="C214" s="7">
        <v>1</v>
      </c>
      <c r="D214" s="6">
        <v>1</v>
      </c>
      <c r="E214" s="7">
        <v>1</v>
      </c>
      <c r="F214" s="7">
        <v>4</v>
      </c>
      <c r="G214" s="8">
        <v>0</v>
      </c>
      <c r="H214" s="8">
        <v>0</v>
      </c>
      <c r="I214" s="8">
        <v>1</v>
      </c>
      <c r="J214" s="7">
        <v>29.11</v>
      </c>
      <c r="K214" s="7">
        <v>0.42</v>
      </c>
      <c r="L214" s="8">
        <v>3.65</v>
      </c>
      <c r="M214" s="12">
        <v>1</v>
      </c>
      <c r="N214" s="6">
        <v>6</v>
      </c>
      <c r="O214" s="6">
        <v>4</v>
      </c>
      <c r="P214" s="6">
        <v>3</v>
      </c>
      <c r="Q214" s="6">
        <v>5</v>
      </c>
      <c r="R214" s="6">
        <v>7</v>
      </c>
      <c r="S214" s="7">
        <v>2</v>
      </c>
      <c r="T214" s="6">
        <v>1</v>
      </c>
      <c r="U214" s="7">
        <v>1</v>
      </c>
      <c r="V214" s="6">
        <v>1</v>
      </c>
    </row>
    <row r="215" spans="1:22" ht="15.75">
      <c r="A215" s="14" t="s">
        <v>247</v>
      </c>
      <c r="B215" s="6" t="s">
        <v>141</v>
      </c>
      <c r="C215" s="7">
        <v>2</v>
      </c>
      <c r="D215" s="6">
        <v>1</v>
      </c>
      <c r="E215" s="7">
        <v>3</v>
      </c>
      <c r="F215" s="7">
        <v>1</v>
      </c>
      <c r="G215" s="8">
        <f>173/230</f>
        <v>0.75217391304347825</v>
      </c>
      <c r="H215" s="8">
        <f>27/230</f>
        <v>0.11739130434782609</v>
      </c>
      <c r="I215" s="8">
        <f>30/230</f>
        <v>0.13043478260869565</v>
      </c>
      <c r="J215" s="7">
        <v>23.58</v>
      </c>
      <c r="K215" s="7">
        <v>0.7</v>
      </c>
      <c r="L215" s="8">
        <v>1.43</v>
      </c>
      <c r="M215" s="12">
        <v>1</v>
      </c>
      <c r="N215" s="6">
        <v>6</v>
      </c>
      <c r="O215" s="6" t="s">
        <v>248</v>
      </c>
      <c r="P215" s="6">
        <v>4</v>
      </c>
      <c r="Q215" s="6">
        <v>8</v>
      </c>
      <c r="R215" s="6">
        <v>10</v>
      </c>
      <c r="S215" s="7">
        <v>2</v>
      </c>
      <c r="T215" s="6">
        <v>1</v>
      </c>
      <c r="U215" s="7">
        <v>1</v>
      </c>
      <c r="V215" s="6">
        <v>1</v>
      </c>
    </row>
    <row r="216" spans="1:22" ht="15.75">
      <c r="A216" s="11" t="s">
        <v>249</v>
      </c>
      <c r="B216" s="6" t="s">
        <v>141</v>
      </c>
      <c r="C216" s="7">
        <v>2</v>
      </c>
      <c r="D216" s="6">
        <v>1</v>
      </c>
      <c r="E216" s="7">
        <v>4</v>
      </c>
      <c r="F216" s="7">
        <v>7</v>
      </c>
      <c r="G216" s="23">
        <f>197/322</f>
        <v>0.61180124223602483</v>
      </c>
      <c r="H216" s="23">
        <f>67/322</f>
        <v>0.20807453416149069</v>
      </c>
      <c r="I216" s="23">
        <f>58/322</f>
        <v>0.18012422360248448</v>
      </c>
      <c r="J216" s="7">
        <v>31.33</v>
      </c>
      <c r="K216" s="7">
        <v>0.4</v>
      </c>
      <c r="L216" s="8">
        <v>0.62</v>
      </c>
      <c r="M216" s="12">
        <v>2</v>
      </c>
      <c r="N216" s="6">
        <v>5</v>
      </c>
      <c r="O216" s="6">
        <v>4</v>
      </c>
      <c r="P216" s="6">
        <v>5</v>
      </c>
      <c r="Q216" s="6">
        <v>8</v>
      </c>
      <c r="R216" s="6">
        <v>7</v>
      </c>
      <c r="S216" s="7">
        <v>2</v>
      </c>
      <c r="T216" s="6">
        <v>1</v>
      </c>
      <c r="U216" s="7">
        <v>1</v>
      </c>
      <c r="V216" s="6">
        <v>1</v>
      </c>
    </row>
    <row r="217" spans="1:22" ht="15.75">
      <c r="A217" s="11" t="s">
        <v>409</v>
      </c>
      <c r="B217" s="6" t="s">
        <v>141</v>
      </c>
      <c r="C217" s="7">
        <v>1</v>
      </c>
      <c r="D217" s="6">
        <v>1</v>
      </c>
      <c r="E217" s="7">
        <v>1</v>
      </c>
      <c r="F217" s="7">
        <v>4</v>
      </c>
      <c r="G217" s="8" t="s">
        <v>2</v>
      </c>
      <c r="H217" s="8" t="s">
        <v>2</v>
      </c>
      <c r="I217" s="8" t="s">
        <v>2</v>
      </c>
      <c r="J217" s="7">
        <v>34.61</v>
      </c>
      <c r="K217" s="7">
        <v>0.23</v>
      </c>
      <c r="L217" s="8">
        <v>1.4</v>
      </c>
      <c r="M217" s="12" t="s">
        <v>2</v>
      </c>
      <c r="N217" s="6">
        <v>4</v>
      </c>
      <c r="O217" s="6">
        <v>5</v>
      </c>
      <c r="P217" s="6">
        <v>3</v>
      </c>
      <c r="Q217" s="6">
        <v>2</v>
      </c>
      <c r="R217" s="6">
        <v>5</v>
      </c>
      <c r="S217" s="7">
        <v>2</v>
      </c>
      <c r="T217" s="6">
        <v>1</v>
      </c>
      <c r="U217" s="7">
        <v>1</v>
      </c>
      <c r="V217" s="6">
        <v>1</v>
      </c>
    </row>
    <row r="218" spans="1:22" ht="15.75">
      <c r="A218" s="11" t="s">
        <v>250</v>
      </c>
      <c r="B218" s="6" t="s">
        <v>141</v>
      </c>
      <c r="C218" s="7">
        <v>1</v>
      </c>
      <c r="D218" s="6">
        <v>2</v>
      </c>
      <c r="E218" s="7">
        <v>1</v>
      </c>
      <c r="F218" s="7" t="s">
        <v>2</v>
      </c>
      <c r="G218" s="19" t="s">
        <v>2</v>
      </c>
      <c r="H218" s="19" t="s">
        <v>2</v>
      </c>
      <c r="I218" s="19" t="s">
        <v>2</v>
      </c>
      <c r="J218" s="7" t="s">
        <v>2</v>
      </c>
      <c r="K218" s="7">
        <v>0.8</v>
      </c>
      <c r="L218" s="8">
        <v>3.6</v>
      </c>
      <c r="M218" s="12" t="s">
        <v>2</v>
      </c>
      <c r="N218" s="6">
        <v>4</v>
      </c>
      <c r="O218" s="6">
        <v>4</v>
      </c>
      <c r="P218" s="6">
        <v>3</v>
      </c>
      <c r="Q218" s="6">
        <v>4</v>
      </c>
      <c r="R218" s="6">
        <v>2</v>
      </c>
      <c r="S218" s="7">
        <v>2</v>
      </c>
      <c r="T218" s="20" t="s">
        <v>2</v>
      </c>
      <c r="U218" s="7">
        <v>1</v>
      </c>
      <c r="V218" s="20" t="s">
        <v>2</v>
      </c>
    </row>
    <row r="219" spans="1:22" ht="15.75">
      <c r="A219" s="11" t="s">
        <v>251</v>
      </c>
      <c r="B219" s="6" t="s">
        <v>141</v>
      </c>
      <c r="C219" s="7">
        <v>1</v>
      </c>
      <c r="D219" s="6">
        <v>2</v>
      </c>
      <c r="E219" s="7">
        <v>1</v>
      </c>
      <c r="F219" s="7" t="s">
        <v>2</v>
      </c>
      <c r="G219" s="19">
        <f>1/5</f>
        <v>0.2</v>
      </c>
      <c r="H219" s="19">
        <f>4/5</f>
        <v>0.8</v>
      </c>
      <c r="I219" s="19">
        <v>0</v>
      </c>
      <c r="J219" s="7">
        <v>25</v>
      </c>
      <c r="K219" s="7">
        <v>0.2</v>
      </c>
      <c r="L219" s="8">
        <v>6.6</v>
      </c>
      <c r="M219" s="12">
        <v>1</v>
      </c>
      <c r="N219" s="6">
        <v>4</v>
      </c>
      <c r="O219" s="6">
        <v>3</v>
      </c>
      <c r="P219" s="6">
        <v>2</v>
      </c>
      <c r="Q219" s="6">
        <v>6</v>
      </c>
      <c r="R219" s="6">
        <v>2</v>
      </c>
      <c r="S219" s="7">
        <v>1</v>
      </c>
      <c r="T219" s="20" t="s">
        <v>2</v>
      </c>
      <c r="U219" s="7">
        <v>1</v>
      </c>
      <c r="V219" s="20" t="s">
        <v>2</v>
      </c>
    </row>
    <row r="220" spans="1:22" ht="15.75">
      <c r="A220" s="33" t="s">
        <v>252</v>
      </c>
      <c r="B220" s="7" t="s">
        <v>141</v>
      </c>
      <c r="C220" s="7">
        <v>1</v>
      </c>
      <c r="D220" s="6">
        <v>3</v>
      </c>
      <c r="E220" s="7">
        <v>1</v>
      </c>
      <c r="F220" s="7" t="s">
        <v>2</v>
      </c>
      <c r="G220" s="7" t="s">
        <v>2</v>
      </c>
      <c r="H220" s="7" t="s">
        <v>2</v>
      </c>
      <c r="I220" s="7" t="s">
        <v>2</v>
      </c>
      <c r="J220" s="7">
        <v>19.02</v>
      </c>
      <c r="K220" s="7" t="s">
        <v>2</v>
      </c>
      <c r="L220" s="7" t="s">
        <v>2</v>
      </c>
      <c r="M220" s="12" t="s">
        <v>2</v>
      </c>
      <c r="N220" s="7" t="s">
        <v>2</v>
      </c>
      <c r="O220" s="6" t="s">
        <v>2</v>
      </c>
      <c r="P220" s="7" t="s">
        <v>2</v>
      </c>
      <c r="Q220" s="6" t="s">
        <v>2</v>
      </c>
      <c r="R220" s="7" t="s">
        <v>2</v>
      </c>
      <c r="S220" s="7">
        <v>1</v>
      </c>
      <c r="T220" s="7" t="s">
        <v>2</v>
      </c>
      <c r="U220" s="7">
        <v>0</v>
      </c>
      <c r="V220" s="7" t="s">
        <v>2</v>
      </c>
    </row>
    <row r="221" spans="1:22" ht="15.75">
      <c r="A221" s="21" t="s">
        <v>253</v>
      </c>
      <c r="B221" s="6" t="s">
        <v>14</v>
      </c>
      <c r="C221" s="7">
        <v>1</v>
      </c>
      <c r="D221" s="6">
        <v>3</v>
      </c>
      <c r="E221" s="7">
        <v>1</v>
      </c>
      <c r="F221" s="7">
        <v>4</v>
      </c>
      <c r="G221" s="23">
        <v>1</v>
      </c>
      <c r="H221" s="23">
        <v>0</v>
      </c>
      <c r="I221" s="23">
        <v>0</v>
      </c>
      <c r="J221" s="7">
        <v>22.78</v>
      </c>
      <c r="K221" s="7">
        <v>1.35</v>
      </c>
      <c r="L221" s="8">
        <v>43.8</v>
      </c>
      <c r="M221" s="12" t="s">
        <v>2</v>
      </c>
      <c r="N221" s="6">
        <v>6</v>
      </c>
      <c r="O221" s="6">
        <v>5</v>
      </c>
      <c r="P221" s="6">
        <v>2</v>
      </c>
      <c r="Q221" s="6" t="s">
        <v>2</v>
      </c>
      <c r="R221" s="6">
        <v>5</v>
      </c>
      <c r="S221" s="7">
        <v>1</v>
      </c>
      <c r="T221" s="6">
        <v>1</v>
      </c>
      <c r="U221" s="7">
        <v>0</v>
      </c>
      <c r="V221" s="6">
        <v>0</v>
      </c>
    </row>
    <row r="222" spans="1:22" ht="15.75">
      <c r="A222" s="21" t="s">
        <v>254</v>
      </c>
      <c r="B222" s="7" t="s">
        <v>14</v>
      </c>
      <c r="C222" s="7">
        <v>1</v>
      </c>
      <c r="D222" s="6">
        <v>3</v>
      </c>
      <c r="E222" s="7">
        <v>1</v>
      </c>
      <c r="F222" s="7" t="s">
        <v>2</v>
      </c>
      <c r="G222" s="23">
        <v>1</v>
      </c>
      <c r="H222" s="23">
        <v>0</v>
      </c>
      <c r="I222" s="23">
        <v>0</v>
      </c>
      <c r="J222" s="7">
        <v>25</v>
      </c>
      <c r="K222" s="7" t="s">
        <v>2</v>
      </c>
      <c r="L222" s="8">
        <v>40</v>
      </c>
      <c r="M222" s="12" t="s">
        <v>2</v>
      </c>
      <c r="N222" s="7">
        <v>5</v>
      </c>
      <c r="O222" s="6" t="s">
        <v>2</v>
      </c>
      <c r="P222" s="7">
        <v>1</v>
      </c>
      <c r="Q222" s="6" t="s">
        <v>2</v>
      </c>
      <c r="R222" s="7">
        <v>5</v>
      </c>
      <c r="S222" s="7">
        <v>1</v>
      </c>
      <c r="T222" s="7" t="s">
        <v>2</v>
      </c>
      <c r="U222" s="7">
        <v>0</v>
      </c>
      <c r="V222" s="7" t="s">
        <v>2</v>
      </c>
    </row>
    <row r="223" spans="1:22" ht="15.75">
      <c r="A223" s="11" t="s">
        <v>255</v>
      </c>
      <c r="B223" s="6" t="s">
        <v>7</v>
      </c>
      <c r="C223" s="7">
        <v>1</v>
      </c>
      <c r="D223" s="6">
        <v>1</v>
      </c>
      <c r="E223" s="7">
        <v>1</v>
      </c>
      <c r="F223" s="7">
        <v>6</v>
      </c>
      <c r="G223" s="8">
        <v>0</v>
      </c>
      <c r="H223" s="8">
        <v>1</v>
      </c>
      <c r="I223" s="8">
        <v>0</v>
      </c>
      <c r="J223" s="7">
        <v>18.97</v>
      </c>
      <c r="K223" s="7">
        <v>0.74</v>
      </c>
      <c r="L223" s="8">
        <v>5.0999999999999996</v>
      </c>
      <c r="M223" s="12" t="s">
        <v>2</v>
      </c>
      <c r="N223" s="6">
        <v>4</v>
      </c>
      <c r="O223" s="6">
        <v>5</v>
      </c>
      <c r="P223" s="6">
        <v>2</v>
      </c>
      <c r="Q223" s="6">
        <v>3</v>
      </c>
      <c r="R223" s="7" t="s">
        <v>2</v>
      </c>
      <c r="S223" s="7">
        <v>2</v>
      </c>
      <c r="T223" s="6" t="s">
        <v>2</v>
      </c>
      <c r="U223" s="7">
        <v>0</v>
      </c>
      <c r="V223" s="6" t="s">
        <v>2</v>
      </c>
    </row>
    <row r="224" spans="1:22" ht="15.75">
      <c r="A224" s="22" t="s">
        <v>256</v>
      </c>
      <c r="B224" s="6" t="s">
        <v>257</v>
      </c>
      <c r="C224" s="7">
        <v>1</v>
      </c>
      <c r="D224" s="6">
        <v>1</v>
      </c>
      <c r="E224" s="7">
        <v>1</v>
      </c>
      <c r="F224" s="7">
        <v>3</v>
      </c>
      <c r="G224" s="8">
        <f>29/32</f>
        <v>0.90625</v>
      </c>
      <c r="H224" s="8">
        <f>3/32</f>
        <v>9.375E-2</v>
      </c>
      <c r="I224" s="8">
        <v>0</v>
      </c>
      <c r="J224" s="7">
        <v>31.7</v>
      </c>
      <c r="K224" s="7">
        <v>0.26</v>
      </c>
      <c r="L224" s="8">
        <v>0.8</v>
      </c>
      <c r="M224" s="12">
        <v>2</v>
      </c>
      <c r="N224" s="6">
        <v>4</v>
      </c>
      <c r="O224" s="6">
        <v>4</v>
      </c>
      <c r="P224" s="6">
        <v>2</v>
      </c>
      <c r="Q224" s="6">
        <v>3</v>
      </c>
      <c r="R224" s="6">
        <v>10</v>
      </c>
      <c r="S224" s="7">
        <v>2</v>
      </c>
      <c r="T224" s="6" t="s">
        <v>10</v>
      </c>
      <c r="U224" s="7">
        <v>0</v>
      </c>
      <c r="V224" s="6">
        <v>1</v>
      </c>
    </row>
    <row r="225" spans="1:22" ht="15.75">
      <c r="A225" s="11" t="s">
        <v>258</v>
      </c>
      <c r="B225" s="6" t="s">
        <v>259</v>
      </c>
      <c r="C225" s="7">
        <v>2</v>
      </c>
      <c r="D225" s="6">
        <v>1</v>
      </c>
      <c r="E225" s="7">
        <v>3</v>
      </c>
      <c r="F225" s="7">
        <v>4</v>
      </c>
      <c r="G225" s="8">
        <v>0.5</v>
      </c>
      <c r="H225" s="8">
        <v>0.5</v>
      </c>
      <c r="I225" s="8">
        <v>0</v>
      </c>
      <c r="J225" s="7">
        <v>14.26</v>
      </c>
      <c r="K225" s="7">
        <v>0.57999999999999996</v>
      </c>
      <c r="L225" s="8">
        <v>0.35</v>
      </c>
      <c r="M225" s="12" t="s">
        <v>2</v>
      </c>
      <c r="N225" s="6">
        <v>7</v>
      </c>
      <c r="O225" s="6">
        <v>5</v>
      </c>
      <c r="P225" s="6">
        <v>3</v>
      </c>
      <c r="Q225" s="6">
        <v>6</v>
      </c>
      <c r="R225" s="6">
        <v>6</v>
      </c>
      <c r="S225" s="7">
        <v>2</v>
      </c>
      <c r="T225" s="6">
        <v>1</v>
      </c>
      <c r="U225" s="7">
        <v>0</v>
      </c>
      <c r="V225" s="6">
        <v>1</v>
      </c>
    </row>
    <row r="226" spans="1:22" ht="15.75">
      <c r="A226" s="11" t="s">
        <v>260</v>
      </c>
      <c r="B226" s="6" t="s">
        <v>33</v>
      </c>
      <c r="C226" s="7">
        <v>1</v>
      </c>
      <c r="D226" s="6">
        <v>2</v>
      </c>
      <c r="E226" s="7">
        <v>1</v>
      </c>
      <c r="F226" s="7">
        <v>3</v>
      </c>
      <c r="G226" s="8">
        <f>93/141</f>
        <v>0.65957446808510634</v>
      </c>
      <c r="H226" s="8">
        <f>41/141</f>
        <v>0.29078014184397161</v>
      </c>
      <c r="I226" s="8">
        <f>7/141</f>
        <v>4.9645390070921988E-2</v>
      </c>
      <c r="J226" s="7">
        <v>25.84</v>
      </c>
      <c r="K226" s="7">
        <v>0.25</v>
      </c>
      <c r="L226" s="8">
        <v>0.11</v>
      </c>
      <c r="M226" s="12">
        <v>1</v>
      </c>
      <c r="N226" s="6">
        <v>3</v>
      </c>
      <c r="O226" s="6">
        <v>3</v>
      </c>
      <c r="P226" s="6">
        <v>8</v>
      </c>
      <c r="Q226" s="6">
        <v>8</v>
      </c>
      <c r="R226" s="6">
        <v>10</v>
      </c>
      <c r="S226" s="7">
        <v>2</v>
      </c>
      <c r="T226" s="6" t="s">
        <v>2</v>
      </c>
      <c r="U226" s="7">
        <v>0</v>
      </c>
      <c r="V226" s="6">
        <v>1</v>
      </c>
    </row>
    <row r="227" spans="1:22" ht="15.75">
      <c r="A227" s="11" t="s">
        <v>261</v>
      </c>
      <c r="B227" s="6" t="s">
        <v>33</v>
      </c>
      <c r="C227" s="7">
        <v>1</v>
      </c>
      <c r="D227" s="6">
        <v>2</v>
      </c>
      <c r="E227" s="7">
        <v>1</v>
      </c>
      <c r="F227" s="7">
        <v>3</v>
      </c>
      <c r="G227" s="8">
        <f>8/36</f>
        <v>0.22222222222222221</v>
      </c>
      <c r="H227" s="8">
        <f>21/36</f>
        <v>0.58333333333333337</v>
      </c>
      <c r="I227" s="8">
        <f>7/36</f>
        <v>0.19444444444444445</v>
      </c>
      <c r="J227" s="7">
        <v>28.81</v>
      </c>
      <c r="K227" s="7">
        <v>0.3</v>
      </c>
      <c r="L227" s="8">
        <v>3.46</v>
      </c>
      <c r="M227" s="12">
        <v>1</v>
      </c>
      <c r="N227" s="6">
        <v>3</v>
      </c>
      <c r="O227" s="6">
        <v>3</v>
      </c>
      <c r="P227" s="6">
        <v>3</v>
      </c>
      <c r="Q227" s="6">
        <v>8</v>
      </c>
      <c r="R227" s="6">
        <v>7</v>
      </c>
      <c r="S227" s="7">
        <v>2</v>
      </c>
      <c r="T227" s="6" t="s">
        <v>2</v>
      </c>
      <c r="U227" s="7">
        <v>0</v>
      </c>
      <c r="V227" s="6">
        <v>1</v>
      </c>
    </row>
    <row r="228" spans="1:22" ht="15.75">
      <c r="A228" s="11" t="s">
        <v>262</v>
      </c>
      <c r="B228" s="6" t="s">
        <v>33</v>
      </c>
      <c r="C228" s="7">
        <v>4</v>
      </c>
      <c r="D228" s="6">
        <v>2</v>
      </c>
      <c r="E228" s="7">
        <v>4</v>
      </c>
      <c r="F228" s="7">
        <v>1</v>
      </c>
      <c r="G228" s="8">
        <f>17/46</f>
        <v>0.36956521739130432</v>
      </c>
      <c r="H228" s="8">
        <f>20/46</f>
        <v>0.43478260869565216</v>
      </c>
      <c r="I228" s="8">
        <f>9/46</f>
        <v>0.19565217391304349</v>
      </c>
      <c r="J228" s="7">
        <v>27.66</v>
      </c>
      <c r="K228" s="7">
        <v>0.23</v>
      </c>
      <c r="L228" s="8">
        <v>0.11</v>
      </c>
      <c r="M228" s="12">
        <v>2</v>
      </c>
      <c r="N228" s="6">
        <v>6</v>
      </c>
      <c r="O228" s="6">
        <v>5</v>
      </c>
      <c r="P228" s="6">
        <v>3</v>
      </c>
      <c r="Q228" s="6">
        <v>3</v>
      </c>
      <c r="R228" s="6">
        <v>3</v>
      </c>
      <c r="S228" s="7">
        <v>2</v>
      </c>
      <c r="T228" s="6">
        <v>0</v>
      </c>
      <c r="U228" s="7">
        <v>0</v>
      </c>
      <c r="V228" s="6">
        <v>1</v>
      </c>
    </row>
    <row r="229" spans="1:22" ht="15.75">
      <c r="A229" s="11" t="s">
        <v>263</v>
      </c>
      <c r="B229" s="6" t="s">
        <v>33</v>
      </c>
      <c r="C229" s="7">
        <v>1</v>
      </c>
      <c r="D229" s="6">
        <v>2</v>
      </c>
      <c r="E229" s="7">
        <v>1</v>
      </c>
      <c r="F229" s="7">
        <v>3</v>
      </c>
      <c r="G229" s="8">
        <f>24/71</f>
        <v>0.3380281690140845</v>
      </c>
      <c r="H229" s="8">
        <f>34/71</f>
        <v>0.47887323943661969</v>
      </c>
      <c r="I229" s="8">
        <f>13/71</f>
        <v>0.18309859154929578</v>
      </c>
      <c r="J229" s="7">
        <v>39.6</v>
      </c>
      <c r="K229" s="7">
        <v>0.4</v>
      </c>
      <c r="L229" s="8">
        <v>0.56000000000000005</v>
      </c>
      <c r="M229" s="12">
        <v>1</v>
      </c>
      <c r="N229" s="6">
        <v>1</v>
      </c>
      <c r="O229" s="6">
        <v>1</v>
      </c>
      <c r="P229" s="6">
        <v>12</v>
      </c>
      <c r="Q229" s="6">
        <v>12</v>
      </c>
      <c r="R229" s="6">
        <v>6</v>
      </c>
      <c r="S229" s="7">
        <v>2</v>
      </c>
      <c r="T229" s="6">
        <v>1</v>
      </c>
      <c r="U229" s="7">
        <v>0</v>
      </c>
      <c r="V229" s="6">
        <v>1</v>
      </c>
    </row>
    <row r="230" spans="1:22" ht="15.75">
      <c r="A230" s="11" t="s">
        <v>264</v>
      </c>
      <c r="B230" s="6" t="s">
        <v>33</v>
      </c>
      <c r="C230" s="7">
        <v>1</v>
      </c>
      <c r="D230" s="6">
        <v>2</v>
      </c>
      <c r="E230" s="7">
        <v>1</v>
      </c>
      <c r="F230" s="7">
        <v>3</v>
      </c>
      <c r="G230" s="8">
        <f>3/17</f>
        <v>0.17647058823529413</v>
      </c>
      <c r="H230" s="8">
        <f>5/17</f>
        <v>0.29411764705882354</v>
      </c>
      <c r="I230" s="8">
        <f>9/17</f>
        <v>0.52941176470588236</v>
      </c>
      <c r="J230" s="7">
        <v>27.35</v>
      </c>
      <c r="K230" s="7">
        <v>0.35</v>
      </c>
      <c r="L230" s="8">
        <v>0.35</v>
      </c>
      <c r="M230" s="12">
        <v>2</v>
      </c>
      <c r="N230" s="6">
        <v>3</v>
      </c>
      <c r="O230" s="6">
        <v>2</v>
      </c>
      <c r="P230" s="6">
        <v>8</v>
      </c>
      <c r="Q230" s="6">
        <v>9</v>
      </c>
      <c r="R230" s="6">
        <v>7</v>
      </c>
      <c r="S230" s="7">
        <v>2</v>
      </c>
      <c r="T230" s="6" t="s">
        <v>2</v>
      </c>
      <c r="U230" s="7">
        <v>0</v>
      </c>
      <c r="V230" s="6">
        <v>1</v>
      </c>
    </row>
    <row r="231" spans="1:22" ht="15.75">
      <c r="A231" s="11" t="s">
        <v>265</v>
      </c>
      <c r="B231" s="6" t="s">
        <v>141</v>
      </c>
      <c r="C231" s="7">
        <v>2</v>
      </c>
      <c r="D231" s="6">
        <v>2</v>
      </c>
      <c r="E231" s="7">
        <v>4</v>
      </c>
      <c r="F231" s="7">
        <v>1</v>
      </c>
      <c r="G231" s="8">
        <v>1</v>
      </c>
      <c r="H231" s="8">
        <v>0</v>
      </c>
      <c r="I231" s="8">
        <v>0</v>
      </c>
      <c r="J231" s="7">
        <v>25.58</v>
      </c>
      <c r="K231" s="7">
        <v>1.6</v>
      </c>
      <c r="L231" s="8">
        <v>14.29</v>
      </c>
      <c r="M231" s="12">
        <v>1</v>
      </c>
      <c r="N231" s="6">
        <v>6</v>
      </c>
      <c r="O231" s="6">
        <v>4</v>
      </c>
      <c r="P231" s="6">
        <v>3</v>
      </c>
      <c r="Q231" s="6">
        <v>6</v>
      </c>
      <c r="R231" s="6">
        <v>10</v>
      </c>
      <c r="S231" s="7">
        <v>2</v>
      </c>
      <c r="T231" s="6">
        <v>1</v>
      </c>
      <c r="U231" s="7">
        <v>1</v>
      </c>
      <c r="V231" s="6">
        <v>1</v>
      </c>
    </row>
    <row r="232" spans="1:22" ht="15.75">
      <c r="A232" s="11" t="s">
        <v>266</v>
      </c>
      <c r="B232" s="6" t="s">
        <v>141</v>
      </c>
      <c r="C232" s="7">
        <v>1</v>
      </c>
      <c r="D232" s="6">
        <v>2</v>
      </c>
      <c r="E232" s="7">
        <v>1</v>
      </c>
      <c r="F232" s="7">
        <v>4</v>
      </c>
      <c r="G232" s="8">
        <v>1</v>
      </c>
      <c r="H232" s="8">
        <v>0</v>
      </c>
      <c r="I232" s="8">
        <v>0</v>
      </c>
      <c r="J232" s="7">
        <v>18.93</v>
      </c>
      <c r="K232" s="7">
        <v>0.54</v>
      </c>
      <c r="L232" s="8">
        <v>42.8</v>
      </c>
      <c r="M232" s="12" t="s">
        <v>2</v>
      </c>
      <c r="N232" s="6">
        <v>6</v>
      </c>
      <c r="O232" s="6">
        <v>4</v>
      </c>
      <c r="P232" s="6">
        <v>2</v>
      </c>
      <c r="Q232" s="6">
        <v>3</v>
      </c>
      <c r="R232" s="6">
        <v>3</v>
      </c>
      <c r="S232" s="7">
        <v>2</v>
      </c>
      <c r="T232" s="6">
        <v>1</v>
      </c>
      <c r="U232" s="7">
        <v>1</v>
      </c>
      <c r="V232" s="6">
        <v>1</v>
      </c>
    </row>
    <row r="233" spans="1:22" ht="15.75">
      <c r="A233" s="34" t="s">
        <v>267</v>
      </c>
      <c r="B233" s="35" t="s">
        <v>141</v>
      </c>
      <c r="C233" s="7">
        <v>1</v>
      </c>
      <c r="D233" s="6">
        <v>2</v>
      </c>
      <c r="E233" s="7">
        <v>1</v>
      </c>
      <c r="F233" s="7" t="s">
        <v>2</v>
      </c>
      <c r="G233" s="36" t="s">
        <v>2</v>
      </c>
      <c r="H233" s="36" t="s">
        <v>2</v>
      </c>
      <c r="I233" s="36" t="s">
        <v>2</v>
      </c>
      <c r="J233" s="7">
        <v>25.72</v>
      </c>
      <c r="K233" s="7">
        <v>1</v>
      </c>
      <c r="L233" s="8">
        <v>921</v>
      </c>
      <c r="M233" s="12" t="s">
        <v>2</v>
      </c>
      <c r="N233" s="35">
        <v>3</v>
      </c>
      <c r="O233" s="6">
        <v>2</v>
      </c>
      <c r="P233" s="35">
        <v>2</v>
      </c>
      <c r="Q233" s="6" t="s">
        <v>268</v>
      </c>
      <c r="R233" s="7">
        <v>10</v>
      </c>
      <c r="S233" s="7">
        <v>2</v>
      </c>
      <c r="T233" s="35" t="s">
        <v>2</v>
      </c>
      <c r="U233" s="7">
        <v>1</v>
      </c>
      <c r="V233" s="35" t="s">
        <v>2</v>
      </c>
    </row>
    <row r="234" spans="1:22" ht="15.75">
      <c r="A234" s="10" t="s">
        <v>269</v>
      </c>
      <c r="B234" s="6" t="s">
        <v>141</v>
      </c>
      <c r="C234" s="7">
        <v>1</v>
      </c>
      <c r="D234" s="6">
        <v>2</v>
      </c>
      <c r="E234" s="7">
        <v>1</v>
      </c>
      <c r="F234" s="7">
        <v>3</v>
      </c>
      <c r="G234" s="8">
        <f>80/96</f>
        <v>0.83333333333333337</v>
      </c>
      <c r="H234" s="8">
        <f>11/96</f>
        <v>0.11458333333333333</v>
      </c>
      <c r="I234" s="8">
        <f>5/96</f>
        <v>5.2083333333333336E-2</v>
      </c>
      <c r="J234" s="7">
        <v>22.06</v>
      </c>
      <c r="K234" s="7">
        <v>0.45</v>
      </c>
      <c r="L234" s="8">
        <v>5.58</v>
      </c>
      <c r="M234" s="12">
        <v>1</v>
      </c>
      <c r="N234" s="6">
        <v>6</v>
      </c>
      <c r="O234" s="6">
        <v>4</v>
      </c>
      <c r="P234" s="6">
        <v>2</v>
      </c>
      <c r="Q234" s="6">
        <v>5</v>
      </c>
      <c r="R234" s="6">
        <v>10</v>
      </c>
      <c r="S234" s="7">
        <v>2</v>
      </c>
      <c r="T234" s="6">
        <v>1</v>
      </c>
      <c r="U234" s="7">
        <v>1</v>
      </c>
      <c r="V234" s="6">
        <v>1</v>
      </c>
    </row>
    <row r="235" spans="1:22" ht="15.75">
      <c r="A235" s="11" t="s">
        <v>270</v>
      </c>
      <c r="B235" s="6" t="s">
        <v>141</v>
      </c>
      <c r="C235" s="7">
        <v>1</v>
      </c>
      <c r="D235" s="6">
        <v>2</v>
      </c>
      <c r="E235" s="7">
        <v>1</v>
      </c>
      <c r="F235" s="7">
        <v>4</v>
      </c>
      <c r="G235" s="8">
        <v>1</v>
      </c>
      <c r="H235" s="8">
        <v>0</v>
      </c>
      <c r="I235" s="8">
        <v>0</v>
      </c>
      <c r="J235" s="7">
        <v>22.85</v>
      </c>
      <c r="K235" s="7">
        <v>0.8</v>
      </c>
      <c r="L235" s="8">
        <v>28.8</v>
      </c>
      <c r="M235" s="12">
        <v>1</v>
      </c>
      <c r="N235" s="6">
        <v>5</v>
      </c>
      <c r="O235" s="6">
        <v>4</v>
      </c>
      <c r="P235" s="6">
        <v>3</v>
      </c>
      <c r="Q235" s="6">
        <v>4</v>
      </c>
      <c r="R235" s="6">
        <v>10</v>
      </c>
      <c r="S235" s="7">
        <v>2</v>
      </c>
      <c r="T235" s="6">
        <v>1</v>
      </c>
      <c r="U235" s="7">
        <v>1</v>
      </c>
      <c r="V235" s="6">
        <v>1</v>
      </c>
    </row>
    <row r="236" spans="1:22" ht="15.75">
      <c r="A236" s="11" t="s">
        <v>271</v>
      </c>
      <c r="B236" s="6" t="s">
        <v>141</v>
      </c>
      <c r="C236" s="7">
        <v>2</v>
      </c>
      <c r="D236" s="6">
        <v>2</v>
      </c>
      <c r="E236" s="7">
        <v>4</v>
      </c>
      <c r="F236" s="7">
        <v>1</v>
      </c>
      <c r="G236" s="8">
        <v>0</v>
      </c>
      <c r="H236" s="8">
        <v>0</v>
      </c>
      <c r="I236" s="8">
        <v>1</v>
      </c>
      <c r="J236" s="7">
        <v>25.6</v>
      </c>
      <c r="K236" s="7">
        <v>2</v>
      </c>
      <c r="L236" s="8">
        <v>21.2</v>
      </c>
      <c r="M236" s="12" t="s">
        <v>2</v>
      </c>
      <c r="N236" s="6">
        <v>6</v>
      </c>
      <c r="O236" s="6" t="s">
        <v>2</v>
      </c>
      <c r="P236" s="6">
        <v>3</v>
      </c>
      <c r="Q236" s="6" t="s">
        <v>2</v>
      </c>
      <c r="R236" s="6">
        <v>10</v>
      </c>
      <c r="S236" s="7">
        <v>2</v>
      </c>
      <c r="T236" s="6">
        <v>1</v>
      </c>
      <c r="U236" s="7">
        <v>1</v>
      </c>
      <c r="V236" s="6">
        <v>1</v>
      </c>
    </row>
    <row r="237" spans="1:22" ht="15.75">
      <c r="A237" s="11" t="s">
        <v>272</v>
      </c>
      <c r="B237" s="6" t="s">
        <v>141</v>
      </c>
      <c r="C237" s="7">
        <v>1</v>
      </c>
      <c r="D237" s="6">
        <v>2</v>
      </c>
      <c r="E237" s="7">
        <v>1</v>
      </c>
      <c r="F237" s="7">
        <v>4</v>
      </c>
      <c r="G237" s="8">
        <f>9/11</f>
        <v>0.81818181818181823</v>
      </c>
      <c r="H237" s="8">
        <f>2/11</f>
        <v>0.18181818181818182</v>
      </c>
      <c r="I237" s="8">
        <v>0</v>
      </c>
      <c r="J237" s="7">
        <v>25.75</v>
      </c>
      <c r="K237" s="7">
        <v>1</v>
      </c>
      <c r="L237" s="8">
        <v>37</v>
      </c>
      <c r="M237" s="12" t="s">
        <v>2</v>
      </c>
      <c r="N237" s="6">
        <v>6</v>
      </c>
      <c r="O237" s="6">
        <v>3</v>
      </c>
      <c r="P237" s="6">
        <v>4</v>
      </c>
      <c r="Q237" s="6">
        <v>6</v>
      </c>
      <c r="R237" s="6">
        <v>5</v>
      </c>
      <c r="S237" s="7">
        <v>2</v>
      </c>
      <c r="T237" s="6">
        <v>1</v>
      </c>
      <c r="U237" s="7">
        <v>1</v>
      </c>
      <c r="V237" s="6">
        <v>1</v>
      </c>
    </row>
    <row r="238" spans="1:22" ht="15.75">
      <c r="A238" s="18" t="s">
        <v>273</v>
      </c>
      <c r="B238" s="6" t="s">
        <v>274</v>
      </c>
      <c r="C238" s="7">
        <v>1</v>
      </c>
      <c r="D238" s="6">
        <v>1</v>
      </c>
      <c r="E238" s="7">
        <v>1</v>
      </c>
      <c r="F238" s="7">
        <v>3</v>
      </c>
      <c r="G238" s="8">
        <f>44/94</f>
        <v>0.46808510638297873</v>
      </c>
      <c r="H238" s="8">
        <f>33/94</f>
        <v>0.35106382978723405</v>
      </c>
      <c r="I238" s="8">
        <f>17/94</f>
        <v>0.18085106382978725</v>
      </c>
      <c r="J238" s="7">
        <v>24.32</v>
      </c>
      <c r="K238" s="7">
        <v>0.33</v>
      </c>
      <c r="L238" s="8">
        <v>0.35</v>
      </c>
      <c r="M238" s="12">
        <v>1</v>
      </c>
      <c r="N238" s="6">
        <v>4</v>
      </c>
      <c r="O238" s="6" t="s">
        <v>2</v>
      </c>
      <c r="P238" s="6">
        <v>7</v>
      </c>
      <c r="Q238" s="6" t="s">
        <v>2</v>
      </c>
      <c r="R238" s="6">
        <v>10</v>
      </c>
      <c r="S238" s="7">
        <v>2</v>
      </c>
      <c r="T238" s="6" t="s">
        <v>39</v>
      </c>
      <c r="U238" s="7">
        <v>0</v>
      </c>
      <c r="V238" s="6">
        <v>1</v>
      </c>
    </row>
    <row r="239" spans="1:22" ht="13.5" customHeight="1">
      <c r="A239" s="22" t="s">
        <v>410</v>
      </c>
      <c r="B239" s="6" t="s">
        <v>274</v>
      </c>
      <c r="C239" s="7">
        <v>1</v>
      </c>
      <c r="D239" s="6">
        <v>1</v>
      </c>
      <c r="E239" s="7">
        <v>1</v>
      </c>
      <c r="F239" s="7">
        <v>3</v>
      </c>
      <c r="G239" s="8">
        <f>9/19</f>
        <v>0.47368421052631576</v>
      </c>
      <c r="H239" s="8">
        <f>6/19</f>
        <v>0.31578947368421051</v>
      </c>
      <c r="I239" s="8">
        <f>4/19</f>
        <v>0.21052631578947367</v>
      </c>
      <c r="J239" s="7">
        <v>27.81</v>
      </c>
      <c r="K239" s="7">
        <v>0.4</v>
      </c>
      <c r="L239" s="8">
        <v>0.8</v>
      </c>
      <c r="M239" s="12" t="s">
        <v>2</v>
      </c>
      <c r="N239" s="6">
        <v>4</v>
      </c>
      <c r="O239" s="6">
        <v>4</v>
      </c>
      <c r="P239" s="6">
        <v>6</v>
      </c>
      <c r="Q239" s="6" t="s">
        <v>275</v>
      </c>
      <c r="R239" s="6">
        <v>6</v>
      </c>
      <c r="S239" s="7">
        <v>2</v>
      </c>
      <c r="T239" s="6">
        <v>1</v>
      </c>
      <c r="U239" s="7">
        <v>0</v>
      </c>
      <c r="V239" s="6">
        <v>1</v>
      </c>
    </row>
    <row r="240" spans="1:22" ht="15.75">
      <c r="A240" s="11" t="s">
        <v>276</v>
      </c>
      <c r="B240" s="6" t="s">
        <v>25</v>
      </c>
      <c r="C240" s="7">
        <v>1</v>
      </c>
      <c r="D240" s="6">
        <v>3</v>
      </c>
      <c r="E240" s="7">
        <v>1</v>
      </c>
      <c r="F240" s="7">
        <v>4</v>
      </c>
      <c r="G240" s="8">
        <v>1</v>
      </c>
      <c r="H240" s="8">
        <v>0</v>
      </c>
      <c r="I240" s="8">
        <v>0</v>
      </c>
      <c r="J240" s="7">
        <v>20.010000000000002</v>
      </c>
      <c r="K240" s="7">
        <v>0.98</v>
      </c>
      <c r="L240" s="8">
        <v>174.1</v>
      </c>
      <c r="M240" s="12" t="s">
        <v>2</v>
      </c>
      <c r="N240" s="6">
        <v>7</v>
      </c>
      <c r="O240" s="6">
        <v>8</v>
      </c>
      <c r="P240" s="6">
        <v>3</v>
      </c>
      <c r="Q240" s="6">
        <v>3</v>
      </c>
      <c r="R240" s="6">
        <v>6</v>
      </c>
      <c r="S240" s="7">
        <v>2</v>
      </c>
      <c r="T240" s="6">
        <v>1</v>
      </c>
      <c r="U240" s="7">
        <v>0</v>
      </c>
      <c r="V240" s="6">
        <v>0</v>
      </c>
    </row>
    <row r="241" spans="1:22" ht="15.75">
      <c r="A241" s="25" t="s">
        <v>277</v>
      </c>
      <c r="B241" s="26" t="s">
        <v>25</v>
      </c>
      <c r="C241" s="7">
        <v>1</v>
      </c>
      <c r="D241" s="6">
        <v>2</v>
      </c>
      <c r="E241" s="7">
        <v>1</v>
      </c>
      <c r="F241" s="15">
        <v>4</v>
      </c>
      <c r="G241" s="27" t="s">
        <v>2</v>
      </c>
      <c r="H241" s="27" t="s">
        <v>2</v>
      </c>
      <c r="I241" s="27" t="s">
        <v>2</v>
      </c>
      <c r="J241" s="7">
        <v>20.010000000000002</v>
      </c>
      <c r="K241" s="7">
        <v>0.6</v>
      </c>
      <c r="L241" s="8">
        <v>310.25</v>
      </c>
      <c r="M241" s="12" t="s">
        <v>2</v>
      </c>
      <c r="N241" s="26">
        <v>7</v>
      </c>
      <c r="O241" s="6">
        <v>7</v>
      </c>
      <c r="P241" s="26">
        <v>4</v>
      </c>
      <c r="Q241" s="6">
        <v>4</v>
      </c>
      <c r="R241" s="26">
        <v>6</v>
      </c>
      <c r="S241" s="7">
        <v>2</v>
      </c>
      <c r="T241" s="26" t="s">
        <v>2</v>
      </c>
      <c r="U241" s="7">
        <v>0</v>
      </c>
      <c r="V241" s="26" t="s">
        <v>2</v>
      </c>
    </row>
    <row r="242" spans="1:22" ht="15.75">
      <c r="A242" s="11" t="s">
        <v>411</v>
      </c>
      <c r="B242" s="7" t="s">
        <v>14</v>
      </c>
      <c r="C242" s="7">
        <v>1</v>
      </c>
      <c r="D242" s="6">
        <v>2</v>
      </c>
      <c r="E242" s="7">
        <v>1</v>
      </c>
      <c r="F242" s="7" t="s">
        <v>2</v>
      </c>
      <c r="G242" s="8">
        <v>1</v>
      </c>
      <c r="H242" s="8">
        <v>0</v>
      </c>
      <c r="I242" s="8">
        <v>0</v>
      </c>
      <c r="J242" s="7">
        <v>25.28</v>
      </c>
      <c r="K242" s="7">
        <v>3</v>
      </c>
      <c r="L242" s="8">
        <v>252</v>
      </c>
      <c r="M242" s="12" t="s">
        <v>2</v>
      </c>
      <c r="N242" s="7">
        <v>7</v>
      </c>
      <c r="O242" s="6" t="s">
        <v>2</v>
      </c>
      <c r="P242" s="7">
        <v>2</v>
      </c>
      <c r="Q242" s="6" t="s">
        <v>2</v>
      </c>
      <c r="R242" s="6">
        <v>9</v>
      </c>
      <c r="S242" s="7">
        <v>1</v>
      </c>
      <c r="T242" s="7" t="s">
        <v>2</v>
      </c>
      <c r="U242" s="7">
        <v>0</v>
      </c>
      <c r="V242" s="6" t="s">
        <v>2</v>
      </c>
    </row>
  </sheetData>
  <sheetProtection selectLockedCells="1" selectUnlockedCells="1"/>
  <mergeCells count="1">
    <mergeCell ref="G1:I1"/>
  </mergeCells>
  <pageMargins left="0.75" right="0.75" top="1" bottom="1" header="0.51180555555555551" footer="0.51180555555555551"/>
  <pageSetup paperSize="9" scale="50" firstPageNumber="0"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dimension ref="A1:IU103"/>
  <sheetViews>
    <sheetView zoomScale="80" zoomScaleNormal="80" workbookViewId="0">
      <pane xSplit="1" ySplit="1" topLeftCell="B2" activePane="bottomRight" state="frozen"/>
      <selection pane="topRight" activeCell="B1" sqref="B1"/>
      <selection pane="bottomLeft" activeCell="A2" sqref="A2"/>
      <selection pane="bottomRight" activeCell="F8" sqref="F8"/>
    </sheetView>
  </sheetViews>
  <sheetFormatPr defaultColWidth="11.42578125" defaultRowHeight="15.75"/>
  <cols>
    <col min="1" max="1" width="34" style="39" customWidth="1"/>
    <col min="2" max="2" width="37.85546875" style="37" bestFit="1" customWidth="1"/>
    <col min="3" max="3" width="46.140625" style="37" customWidth="1"/>
    <col min="4" max="4" width="11.42578125" style="37" customWidth="1"/>
    <col min="5" max="27" width="11.42578125" style="37"/>
    <col min="28" max="28" width="11.42578125" style="37" customWidth="1"/>
    <col min="29" max="16384" width="11.42578125" style="37"/>
  </cols>
  <sheetData>
    <row r="1" spans="1:37">
      <c r="A1" s="64" t="s">
        <v>415</v>
      </c>
      <c r="B1" s="65" t="s">
        <v>454</v>
      </c>
      <c r="C1" s="66" t="s">
        <v>416</v>
      </c>
      <c r="D1" s="113" t="s">
        <v>425</v>
      </c>
      <c r="E1" s="114"/>
      <c r="F1" s="114"/>
      <c r="G1" s="114"/>
      <c r="H1" s="114"/>
      <c r="I1" s="114"/>
      <c r="J1" s="114"/>
      <c r="K1" s="114"/>
      <c r="L1" s="114"/>
      <c r="M1" s="114"/>
      <c r="N1" s="114"/>
      <c r="O1" s="114"/>
      <c r="P1" s="114"/>
      <c r="Q1" s="114"/>
      <c r="R1" s="114"/>
      <c r="S1" s="114"/>
      <c r="T1" s="114"/>
      <c r="U1" s="114"/>
      <c r="V1" s="114"/>
      <c r="W1" s="114"/>
      <c r="X1" s="114"/>
      <c r="Y1" s="114"/>
      <c r="Z1" s="114"/>
      <c r="AA1" s="114"/>
      <c r="AB1" s="111"/>
    </row>
    <row r="2" spans="1:37">
      <c r="A2" s="43" t="s">
        <v>445</v>
      </c>
      <c r="B2" s="46" t="s">
        <v>324</v>
      </c>
      <c r="C2" s="73"/>
      <c r="D2" s="53" t="s">
        <v>418</v>
      </c>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5"/>
    </row>
    <row r="3" spans="1:37">
      <c r="A3" s="44"/>
      <c r="B3" s="47"/>
      <c r="C3" s="48"/>
      <c r="D3" s="56"/>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8"/>
    </row>
    <row r="4" spans="1:37">
      <c r="A4" s="44"/>
      <c r="B4" s="47"/>
      <c r="C4" s="48"/>
      <c r="D4" s="56" t="s">
        <v>419</v>
      </c>
      <c r="E4" s="57"/>
      <c r="F4" s="57"/>
      <c r="G4" s="57"/>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8"/>
    </row>
    <row r="5" spans="1:37">
      <c r="A5" s="44"/>
      <c r="B5" s="47"/>
      <c r="C5" s="48"/>
      <c r="D5" s="56" t="s">
        <v>278</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c r="AK5" s="58"/>
    </row>
    <row r="6" spans="1:37">
      <c r="A6" s="44"/>
      <c r="B6" s="48"/>
      <c r="C6" s="48"/>
      <c r="D6" s="56" t="s">
        <v>279</v>
      </c>
      <c r="E6" s="57"/>
      <c r="F6" s="57"/>
      <c r="G6" s="57"/>
      <c r="H6" s="57"/>
      <c r="I6" s="57"/>
      <c r="J6" s="57"/>
      <c r="K6" s="57"/>
      <c r="L6" s="57"/>
      <c r="M6" s="57"/>
      <c r="N6" s="57"/>
      <c r="O6" s="57"/>
      <c r="P6" s="57"/>
      <c r="Q6" s="57"/>
      <c r="R6" s="57"/>
      <c r="S6" s="57"/>
      <c r="T6" s="57"/>
      <c r="U6" s="57"/>
      <c r="V6" s="57"/>
      <c r="W6" s="57"/>
      <c r="X6" s="57"/>
      <c r="Y6" s="57"/>
      <c r="Z6" s="57"/>
      <c r="AA6" s="57"/>
      <c r="AB6" s="57"/>
      <c r="AC6" s="57"/>
      <c r="AD6" s="57"/>
      <c r="AE6" s="57"/>
      <c r="AF6" s="57"/>
      <c r="AG6" s="57"/>
      <c r="AH6" s="57"/>
      <c r="AI6" s="57"/>
      <c r="AJ6" s="57"/>
      <c r="AK6" s="58"/>
    </row>
    <row r="7" spans="1:37">
      <c r="A7" s="44"/>
      <c r="B7" s="48"/>
      <c r="C7" s="48"/>
      <c r="D7" s="59" t="s">
        <v>280</v>
      </c>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8"/>
    </row>
    <row r="8" spans="1:37">
      <c r="A8" s="44"/>
      <c r="B8" s="48"/>
      <c r="C8" s="48"/>
      <c r="D8" s="56"/>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8"/>
    </row>
    <row r="9" spans="1:37">
      <c r="A9" s="44"/>
      <c r="B9" s="48"/>
      <c r="C9" s="51" t="s">
        <v>317</v>
      </c>
      <c r="D9" s="56" t="s">
        <v>281</v>
      </c>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8"/>
    </row>
    <row r="10" spans="1:37">
      <c r="A10" s="44"/>
      <c r="B10" s="48"/>
      <c r="C10" s="51" t="s">
        <v>318</v>
      </c>
      <c r="D10" s="56" t="s">
        <v>282</v>
      </c>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8"/>
    </row>
    <row r="11" spans="1:37">
      <c r="A11" s="44"/>
      <c r="B11" s="48"/>
      <c r="C11" s="51" t="s">
        <v>319</v>
      </c>
      <c r="D11" s="56" t="s">
        <v>283</v>
      </c>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8"/>
    </row>
    <row r="12" spans="1:37">
      <c r="A12" s="45"/>
      <c r="B12" s="49"/>
      <c r="C12" s="52" t="s">
        <v>320</v>
      </c>
      <c r="D12" s="60" t="s">
        <v>284</v>
      </c>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2"/>
    </row>
    <row r="13" spans="1:37">
      <c r="A13" s="43" t="s">
        <v>444</v>
      </c>
      <c r="B13" s="46" t="s">
        <v>325</v>
      </c>
      <c r="C13" s="73"/>
      <c r="D13" s="63" t="s">
        <v>420</v>
      </c>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5"/>
    </row>
    <row r="14" spans="1:37">
      <c r="A14" s="44"/>
      <c r="B14" s="47"/>
      <c r="C14" s="48"/>
      <c r="D14" s="56"/>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8"/>
    </row>
    <row r="15" spans="1:37">
      <c r="A15" s="44"/>
      <c r="B15" s="48"/>
      <c r="C15" s="48"/>
      <c r="D15" s="56" t="s">
        <v>421</v>
      </c>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8"/>
    </row>
    <row r="16" spans="1:37">
      <c r="A16" s="44"/>
      <c r="B16" s="48" t="s">
        <v>285</v>
      </c>
      <c r="C16" s="48"/>
      <c r="D16" s="56" t="s">
        <v>422</v>
      </c>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8"/>
    </row>
    <row r="17" spans="1:37">
      <c r="A17" s="44"/>
      <c r="B17" s="48" t="s">
        <v>285</v>
      </c>
      <c r="C17" s="48"/>
      <c r="D17" s="56" t="s">
        <v>423</v>
      </c>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8"/>
    </row>
    <row r="18" spans="1:37">
      <c r="A18" s="44"/>
      <c r="B18" s="48"/>
      <c r="C18" s="48"/>
      <c r="D18" s="56"/>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8"/>
    </row>
    <row r="19" spans="1:37">
      <c r="A19" s="44"/>
      <c r="B19" s="48"/>
      <c r="C19" s="51" t="s">
        <v>321</v>
      </c>
      <c r="D19" s="56" t="s">
        <v>424</v>
      </c>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8"/>
    </row>
    <row r="20" spans="1:37">
      <c r="A20" s="44"/>
      <c r="B20" s="48"/>
      <c r="C20" s="51" t="s">
        <v>322</v>
      </c>
      <c r="D20" s="56" t="s">
        <v>286</v>
      </c>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8"/>
    </row>
    <row r="21" spans="1:37">
      <c r="A21" s="45"/>
      <c r="B21" s="49"/>
      <c r="C21" s="52" t="s">
        <v>323</v>
      </c>
      <c r="D21" s="60" t="s">
        <v>287</v>
      </c>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2"/>
    </row>
    <row r="22" spans="1:37" ht="31.5">
      <c r="A22" s="68" t="s">
        <v>443</v>
      </c>
      <c r="B22" s="70" t="s">
        <v>325</v>
      </c>
      <c r="C22" s="73"/>
      <c r="D22" s="71" t="s">
        <v>426</v>
      </c>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5"/>
    </row>
    <row r="23" spans="1:37">
      <c r="A23" s="44"/>
      <c r="B23" s="48"/>
      <c r="C23" s="48"/>
      <c r="D23" s="56"/>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8"/>
    </row>
    <row r="24" spans="1:37">
      <c r="A24" s="44"/>
      <c r="B24" s="48"/>
      <c r="C24" s="51" t="s">
        <v>343</v>
      </c>
      <c r="D24" s="56" t="s">
        <v>295</v>
      </c>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8"/>
    </row>
    <row r="25" spans="1:37">
      <c r="A25" s="44"/>
      <c r="B25" s="48"/>
      <c r="C25" s="51" t="s">
        <v>344</v>
      </c>
      <c r="D25" s="56" t="s">
        <v>296</v>
      </c>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8"/>
    </row>
    <row r="26" spans="1:37">
      <c r="A26" s="44"/>
      <c r="B26" s="48"/>
      <c r="C26" s="51" t="s">
        <v>345</v>
      </c>
      <c r="D26" s="56" t="s">
        <v>297</v>
      </c>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8"/>
    </row>
    <row r="27" spans="1:37">
      <c r="A27" s="44"/>
      <c r="B27" s="48"/>
      <c r="C27" s="51" t="s">
        <v>346</v>
      </c>
      <c r="D27" s="56" t="s">
        <v>427</v>
      </c>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8"/>
    </row>
    <row r="28" spans="1:37">
      <c r="A28" s="44"/>
      <c r="B28" s="48"/>
      <c r="C28" s="51" t="s">
        <v>347</v>
      </c>
      <c r="D28" s="56" t="s">
        <v>428</v>
      </c>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8"/>
    </row>
    <row r="29" spans="1:37">
      <c r="A29" s="44"/>
      <c r="B29" s="48"/>
      <c r="C29" s="51" t="s">
        <v>348</v>
      </c>
      <c r="D29" s="56" t="s">
        <v>429</v>
      </c>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8"/>
    </row>
    <row r="30" spans="1:37">
      <c r="A30" s="45"/>
      <c r="B30" s="49"/>
      <c r="C30" s="52" t="s">
        <v>349</v>
      </c>
      <c r="D30" s="60" t="s">
        <v>430</v>
      </c>
      <c r="E30" s="61"/>
      <c r="F30" s="61"/>
      <c r="G30" s="61"/>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2"/>
    </row>
    <row r="31" spans="1:37">
      <c r="A31" s="72" t="s">
        <v>442</v>
      </c>
      <c r="B31" s="46" t="s">
        <v>326</v>
      </c>
      <c r="C31" s="73"/>
      <c r="D31" s="75" t="s">
        <v>431</v>
      </c>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5"/>
    </row>
    <row r="32" spans="1:37">
      <c r="A32" s="44"/>
      <c r="B32" s="48"/>
      <c r="C32" s="48"/>
      <c r="D32" s="56" t="s">
        <v>478</v>
      </c>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8"/>
    </row>
    <row r="33" spans="1:37">
      <c r="A33" s="44"/>
      <c r="B33" s="48"/>
      <c r="C33" s="48"/>
      <c r="D33" s="56" t="s">
        <v>432</v>
      </c>
      <c r="E33" s="57"/>
      <c r="F33" s="57"/>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8"/>
    </row>
    <row r="34" spans="1:37">
      <c r="A34" s="44"/>
      <c r="B34" s="48"/>
      <c r="C34" s="48"/>
      <c r="D34" s="56" t="s">
        <v>434</v>
      </c>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8"/>
    </row>
    <row r="35" spans="1:37">
      <c r="A35" s="44"/>
      <c r="B35" s="48"/>
      <c r="C35" s="48"/>
      <c r="D35" s="56" t="s">
        <v>433</v>
      </c>
      <c r="E35" s="57"/>
      <c r="F35" s="57"/>
      <c r="G35" s="57"/>
      <c r="H35" s="5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8"/>
    </row>
    <row r="36" spans="1:37">
      <c r="A36" s="44"/>
      <c r="B36" s="48"/>
      <c r="C36" s="48"/>
      <c r="D36" s="56"/>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8"/>
    </row>
    <row r="37" spans="1:37">
      <c r="A37" s="44"/>
      <c r="B37" s="48"/>
      <c r="C37" s="51" t="s">
        <v>336</v>
      </c>
      <c r="D37" s="56" t="s">
        <v>479</v>
      </c>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8"/>
    </row>
    <row r="38" spans="1:37">
      <c r="A38" s="44"/>
      <c r="B38" s="48"/>
      <c r="C38" s="51" t="s">
        <v>337</v>
      </c>
      <c r="D38" s="56" t="s">
        <v>288</v>
      </c>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8"/>
    </row>
    <row r="39" spans="1:37">
      <c r="A39" s="44"/>
      <c r="B39" s="48"/>
      <c r="C39" s="51" t="s">
        <v>338</v>
      </c>
      <c r="D39" s="56" t="s">
        <v>289</v>
      </c>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8"/>
    </row>
    <row r="40" spans="1:37">
      <c r="A40" s="44"/>
      <c r="B40" s="48"/>
      <c r="C40" s="51" t="s">
        <v>339</v>
      </c>
      <c r="D40" s="56" t="s">
        <v>290</v>
      </c>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8"/>
    </row>
    <row r="41" spans="1:37">
      <c r="A41" s="44"/>
      <c r="B41" s="48"/>
      <c r="C41" s="51" t="s">
        <v>340</v>
      </c>
      <c r="D41" s="56" t="s">
        <v>291</v>
      </c>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8"/>
    </row>
    <row r="42" spans="1:37">
      <c r="A42" s="44"/>
      <c r="B42" s="48"/>
      <c r="C42" s="51" t="s">
        <v>341</v>
      </c>
      <c r="D42" s="56" t="s">
        <v>292</v>
      </c>
      <c r="E42" s="57"/>
      <c r="F42" s="57"/>
      <c r="G42" s="57"/>
      <c r="H42" s="57"/>
      <c r="I42" s="57"/>
      <c r="J42" s="57"/>
      <c r="K42" s="57"/>
      <c r="L42" s="57"/>
      <c r="M42" s="57"/>
      <c r="N42" s="57"/>
      <c r="O42" s="57"/>
      <c r="P42" s="57"/>
      <c r="Q42" s="57"/>
      <c r="R42" s="57"/>
      <c r="S42" s="57"/>
      <c r="T42" s="57"/>
      <c r="U42" s="57"/>
      <c r="V42" s="57"/>
      <c r="W42" s="57"/>
      <c r="X42" s="57"/>
      <c r="Y42" s="57"/>
      <c r="Z42" s="57"/>
      <c r="AA42" s="57"/>
      <c r="AB42" s="57"/>
      <c r="AC42" s="57"/>
      <c r="AD42" s="57"/>
      <c r="AE42" s="57"/>
      <c r="AF42" s="57"/>
      <c r="AG42" s="57"/>
      <c r="AH42" s="57"/>
      <c r="AI42" s="57"/>
      <c r="AJ42" s="57"/>
      <c r="AK42" s="58"/>
    </row>
    <row r="43" spans="1:37">
      <c r="A43" s="44"/>
      <c r="B43" s="48"/>
      <c r="C43" s="51" t="s">
        <v>342</v>
      </c>
      <c r="D43" s="56" t="s">
        <v>293</v>
      </c>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57"/>
      <c r="AK43" s="58"/>
    </row>
    <row r="44" spans="1:37">
      <c r="A44" s="44"/>
      <c r="B44" s="48"/>
      <c r="C44" s="48"/>
      <c r="D44" s="56" t="s">
        <v>294</v>
      </c>
      <c r="E44" s="57"/>
      <c r="F44" s="57"/>
      <c r="G44" s="57"/>
      <c r="H44" s="57"/>
      <c r="I44" s="57"/>
      <c r="J44" s="57"/>
      <c r="K44" s="57"/>
      <c r="L44" s="57"/>
      <c r="M44" s="57"/>
      <c r="N44" s="57"/>
      <c r="O44" s="57"/>
      <c r="P44" s="57"/>
      <c r="Q44" s="57"/>
      <c r="R44" s="57"/>
      <c r="S44" s="57"/>
      <c r="T44" s="57"/>
      <c r="U44" s="57"/>
      <c r="V44" s="57"/>
      <c r="W44" s="57"/>
      <c r="X44" s="57"/>
      <c r="Y44" s="57"/>
      <c r="Z44" s="57"/>
      <c r="AA44" s="57"/>
      <c r="AB44" s="57"/>
      <c r="AC44" s="57"/>
      <c r="AD44" s="57"/>
      <c r="AE44" s="57"/>
      <c r="AF44" s="57"/>
      <c r="AG44" s="57"/>
      <c r="AH44" s="57"/>
      <c r="AI44" s="57"/>
      <c r="AJ44" s="57"/>
      <c r="AK44" s="58"/>
    </row>
    <row r="45" spans="1:37">
      <c r="A45" s="45"/>
      <c r="B45" s="49"/>
      <c r="C45" s="49"/>
      <c r="D45" s="60" t="s">
        <v>435</v>
      </c>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2"/>
    </row>
    <row r="46" spans="1:37">
      <c r="A46" s="129" t="s">
        <v>441</v>
      </c>
      <c r="B46" s="46" t="s">
        <v>327</v>
      </c>
      <c r="C46" s="73"/>
      <c r="D46" s="63" t="s">
        <v>436</v>
      </c>
      <c r="E46" s="54"/>
      <c r="F46" s="54"/>
      <c r="G46" s="54"/>
      <c r="H46" s="54"/>
      <c r="I46" s="54"/>
      <c r="J46" s="54"/>
      <c r="K46" s="54"/>
      <c r="L46" s="54"/>
      <c r="M46" s="54"/>
      <c r="N46" s="54"/>
      <c r="O46" s="77"/>
      <c r="P46" s="54"/>
      <c r="Q46" s="54"/>
      <c r="R46" s="54"/>
      <c r="S46" s="54"/>
      <c r="T46" s="54"/>
      <c r="U46" s="54"/>
      <c r="V46" s="54"/>
      <c r="W46" s="54"/>
      <c r="X46" s="54"/>
      <c r="Y46" s="54"/>
      <c r="Z46" s="54"/>
      <c r="AA46" s="54"/>
      <c r="AB46" s="54"/>
      <c r="AC46" s="54"/>
      <c r="AD46" s="54"/>
      <c r="AE46" s="54"/>
      <c r="AF46" s="54"/>
      <c r="AG46" s="54"/>
      <c r="AH46" s="54"/>
      <c r="AI46" s="54"/>
      <c r="AJ46" s="54"/>
      <c r="AK46" s="55"/>
    </row>
    <row r="47" spans="1:37" ht="15">
      <c r="A47" s="130"/>
      <c r="B47" s="48"/>
      <c r="C47" s="48"/>
      <c r="D47" s="56" t="s">
        <v>437</v>
      </c>
      <c r="E47" s="78"/>
      <c r="F47" s="78"/>
      <c r="G47" s="78"/>
      <c r="H47" s="78"/>
      <c r="I47" s="78"/>
      <c r="J47" s="78"/>
      <c r="K47" s="78"/>
      <c r="L47" s="78"/>
      <c r="M47" s="78"/>
      <c r="N47" s="78"/>
      <c r="O47" s="78"/>
      <c r="P47" s="57"/>
      <c r="Q47" s="57"/>
      <c r="R47" s="57"/>
      <c r="S47" s="57"/>
      <c r="T47" s="57"/>
      <c r="U47" s="57"/>
      <c r="V47" s="57"/>
      <c r="W47" s="57"/>
      <c r="X47" s="57"/>
      <c r="Y47" s="57"/>
      <c r="Z47" s="57"/>
      <c r="AA47" s="57"/>
      <c r="AB47" s="57"/>
      <c r="AC47" s="57"/>
      <c r="AD47" s="57"/>
      <c r="AE47" s="57"/>
      <c r="AF47" s="57"/>
      <c r="AG47" s="57"/>
      <c r="AH47" s="57"/>
      <c r="AI47" s="57"/>
      <c r="AJ47" s="57"/>
      <c r="AK47" s="58"/>
    </row>
    <row r="48" spans="1:37" ht="15">
      <c r="A48" s="130"/>
      <c r="B48" s="48"/>
      <c r="C48" s="48"/>
      <c r="D48" s="79"/>
      <c r="E48" s="78"/>
      <c r="F48" s="78"/>
      <c r="G48" s="78"/>
      <c r="H48" s="78"/>
      <c r="I48" s="78"/>
      <c r="J48" s="78"/>
      <c r="K48" s="78"/>
      <c r="L48" s="78"/>
      <c r="M48" s="78"/>
      <c r="N48" s="78"/>
      <c r="O48" s="78"/>
      <c r="P48" s="57"/>
      <c r="Q48" s="57"/>
      <c r="R48" s="57"/>
      <c r="S48" s="57"/>
      <c r="T48" s="57"/>
      <c r="U48" s="57"/>
      <c r="V48" s="57"/>
      <c r="W48" s="57"/>
      <c r="X48" s="57"/>
      <c r="Y48" s="57"/>
      <c r="Z48" s="57"/>
      <c r="AA48" s="57"/>
      <c r="AB48" s="57"/>
      <c r="AC48" s="57"/>
      <c r="AD48" s="57"/>
      <c r="AE48" s="57"/>
      <c r="AF48" s="57"/>
      <c r="AG48" s="57"/>
      <c r="AH48" s="57"/>
      <c r="AI48" s="57"/>
      <c r="AJ48" s="57"/>
      <c r="AK48" s="58"/>
    </row>
    <row r="49" spans="1:37" ht="15">
      <c r="A49" s="130"/>
      <c r="B49" s="48"/>
      <c r="C49" s="51" t="s">
        <v>350</v>
      </c>
      <c r="D49" s="56" t="s">
        <v>439</v>
      </c>
      <c r="E49" s="78"/>
      <c r="F49" s="78"/>
      <c r="G49" s="78"/>
      <c r="H49" s="78"/>
      <c r="I49" s="78"/>
      <c r="J49" s="78"/>
      <c r="K49" s="78"/>
      <c r="L49" s="78"/>
      <c r="M49" s="78"/>
      <c r="N49" s="78"/>
      <c r="O49" s="78"/>
      <c r="P49" s="57"/>
      <c r="Q49" s="57"/>
      <c r="R49" s="57"/>
      <c r="S49" s="57"/>
      <c r="T49" s="57"/>
      <c r="U49" s="57"/>
      <c r="V49" s="57"/>
      <c r="W49" s="57"/>
      <c r="X49" s="57"/>
      <c r="Y49" s="57"/>
      <c r="Z49" s="57"/>
      <c r="AA49" s="57"/>
      <c r="AB49" s="57"/>
      <c r="AC49" s="57"/>
      <c r="AD49" s="57"/>
      <c r="AE49" s="57"/>
      <c r="AF49" s="57"/>
      <c r="AG49" s="57"/>
      <c r="AH49" s="57"/>
      <c r="AI49" s="57"/>
      <c r="AJ49" s="57"/>
      <c r="AK49" s="58"/>
    </row>
    <row r="50" spans="1:37">
      <c r="A50" s="44"/>
      <c r="B50" s="48"/>
      <c r="C50" s="51" t="s">
        <v>351</v>
      </c>
      <c r="D50" s="56" t="s">
        <v>438</v>
      </c>
      <c r="E50" s="78"/>
      <c r="F50" s="78"/>
      <c r="G50" s="78"/>
      <c r="H50" s="78"/>
      <c r="I50" s="78"/>
      <c r="J50" s="78"/>
      <c r="K50" s="78"/>
      <c r="L50" s="78"/>
      <c r="M50" s="78"/>
      <c r="N50" s="78"/>
      <c r="O50" s="78"/>
      <c r="P50" s="57"/>
      <c r="Q50" s="57"/>
      <c r="R50" s="57"/>
      <c r="S50" s="57"/>
      <c r="T50" s="57"/>
      <c r="U50" s="57"/>
      <c r="V50" s="57"/>
      <c r="W50" s="57"/>
      <c r="X50" s="57"/>
      <c r="Y50" s="57"/>
      <c r="Z50" s="57"/>
      <c r="AA50" s="57"/>
      <c r="AB50" s="57"/>
      <c r="AC50" s="57"/>
      <c r="AD50" s="57"/>
      <c r="AE50" s="57"/>
      <c r="AF50" s="57"/>
      <c r="AG50" s="57"/>
      <c r="AH50" s="57"/>
      <c r="AI50" s="57"/>
      <c r="AJ50" s="57"/>
      <c r="AK50" s="58"/>
    </row>
    <row r="51" spans="1:37">
      <c r="A51" s="44"/>
      <c r="B51" s="48"/>
      <c r="C51" s="51" t="s">
        <v>352</v>
      </c>
      <c r="D51" s="56" t="s">
        <v>440</v>
      </c>
      <c r="E51" s="78"/>
      <c r="F51" s="78"/>
      <c r="G51" s="78"/>
      <c r="H51" s="78"/>
      <c r="I51" s="78"/>
      <c r="J51" s="78"/>
      <c r="K51" s="78"/>
      <c r="L51" s="78"/>
      <c r="M51" s="78"/>
      <c r="N51" s="78"/>
      <c r="O51" s="78"/>
      <c r="P51" s="57"/>
      <c r="Q51" s="57"/>
      <c r="R51" s="57"/>
      <c r="S51" s="57"/>
      <c r="T51" s="57"/>
      <c r="U51" s="57"/>
      <c r="V51" s="57"/>
      <c r="W51" s="57"/>
      <c r="X51" s="57"/>
      <c r="Y51" s="57"/>
      <c r="Z51" s="57"/>
      <c r="AA51" s="57"/>
      <c r="AB51" s="57"/>
      <c r="AC51" s="57"/>
      <c r="AD51" s="57"/>
      <c r="AE51" s="57"/>
      <c r="AF51" s="57"/>
      <c r="AG51" s="57"/>
      <c r="AH51" s="57"/>
      <c r="AI51" s="57"/>
      <c r="AJ51" s="57"/>
      <c r="AK51" s="58"/>
    </row>
    <row r="52" spans="1:37">
      <c r="A52" s="44"/>
      <c r="B52" s="48"/>
      <c r="C52" s="76"/>
      <c r="D52" s="60" t="s">
        <v>294</v>
      </c>
      <c r="E52" s="80"/>
      <c r="F52" s="80"/>
      <c r="G52" s="80"/>
      <c r="H52" s="80"/>
      <c r="I52" s="80"/>
      <c r="J52" s="80"/>
      <c r="K52" s="80"/>
      <c r="L52" s="80"/>
      <c r="M52" s="80"/>
      <c r="N52" s="80"/>
      <c r="O52" s="80"/>
      <c r="P52" s="61"/>
      <c r="Q52" s="61"/>
      <c r="R52" s="61"/>
      <c r="S52" s="61"/>
      <c r="T52" s="61"/>
      <c r="U52" s="61"/>
      <c r="V52" s="61"/>
      <c r="W52" s="61"/>
      <c r="X52" s="61"/>
      <c r="Y52" s="61"/>
      <c r="Z52" s="61"/>
      <c r="AA52" s="61"/>
      <c r="AB52" s="61"/>
      <c r="AC52" s="61"/>
      <c r="AD52" s="61"/>
      <c r="AE52" s="61"/>
      <c r="AF52" s="61"/>
      <c r="AG52" s="61"/>
      <c r="AH52" s="61"/>
      <c r="AI52" s="61"/>
      <c r="AJ52" s="61"/>
      <c r="AK52" s="62"/>
    </row>
    <row r="53" spans="1:37">
      <c r="A53" s="82" t="s">
        <v>446</v>
      </c>
      <c r="B53" s="46" t="s">
        <v>328</v>
      </c>
      <c r="C53" s="73" t="s">
        <v>453</v>
      </c>
      <c r="D53" s="63" t="s">
        <v>449</v>
      </c>
      <c r="E53" s="77"/>
      <c r="F53" s="77"/>
      <c r="G53" s="77"/>
      <c r="H53" s="77"/>
      <c r="I53" s="77"/>
      <c r="J53" s="77"/>
      <c r="K53" s="77"/>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5"/>
    </row>
    <row r="54" spans="1:37">
      <c r="A54" s="83" t="s">
        <v>447</v>
      </c>
      <c r="B54" s="47" t="s">
        <v>329</v>
      </c>
      <c r="C54" s="48" t="s">
        <v>453</v>
      </c>
      <c r="D54" s="56" t="s">
        <v>450</v>
      </c>
      <c r="E54" s="57"/>
      <c r="F54" s="57"/>
      <c r="G54" s="57"/>
      <c r="H54" s="57"/>
      <c r="I54" s="57"/>
      <c r="J54" s="57"/>
      <c r="K54" s="57"/>
      <c r="L54" s="57"/>
      <c r="M54" s="57"/>
      <c r="N54" s="57"/>
      <c r="O54" s="84"/>
      <c r="P54" s="57"/>
      <c r="Q54" s="57"/>
      <c r="R54" s="57"/>
      <c r="S54" s="57"/>
      <c r="T54" s="57"/>
      <c r="U54" s="57"/>
      <c r="V54" s="57"/>
      <c r="W54" s="57"/>
      <c r="X54" s="57"/>
      <c r="Y54" s="57"/>
      <c r="Z54" s="57"/>
      <c r="AA54" s="57"/>
      <c r="AB54" s="57"/>
      <c r="AC54" s="57"/>
      <c r="AD54" s="57"/>
      <c r="AE54" s="57"/>
      <c r="AF54" s="57"/>
      <c r="AG54" s="57"/>
      <c r="AH54" s="57"/>
      <c r="AI54" s="57"/>
      <c r="AJ54" s="57"/>
      <c r="AK54" s="58"/>
    </row>
    <row r="55" spans="1:37">
      <c r="A55" s="83" t="s">
        <v>448</v>
      </c>
      <c r="B55" s="47" t="s">
        <v>330</v>
      </c>
      <c r="C55" s="48" t="s">
        <v>453</v>
      </c>
      <c r="D55" s="85" t="s">
        <v>451</v>
      </c>
      <c r="E55" s="57"/>
      <c r="F55" s="57"/>
      <c r="G55" s="57"/>
      <c r="H55" s="57"/>
      <c r="I55" s="57"/>
      <c r="J55" s="57"/>
      <c r="K55" s="57"/>
      <c r="L55" s="57"/>
      <c r="M55" s="57"/>
      <c r="N55" s="57"/>
      <c r="O55" s="84"/>
      <c r="P55" s="57"/>
      <c r="Q55" s="57"/>
      <c r="R55" s="57"/>
      <c r="S55" s="57"/>
      <c r="T55" s="57"/>
      <c r="U55" s="57"/>
      <c r="V55" s="57"/>
      <c r="W55" s="57"/>
      <c r="X55" s="57"/>
      <c r="Y55" s="57"/>
      <c r="Z55" s="57"/>
      <c r="AA55" s="57"/>
      <c r="AB55" s="57"/>
      <c r="AC55" s="57"/>
      <c r="AD55" s="57"/>
      <c r="AE55" s="57"/>
      <c r="AF55" s="57"/>
      <c r="AG55" s="57"/>
      <c r="AH55" s="57"/>
      <c r="AI55" s="57"/>
      <c r="AJ55" s="57"/>
      <c r="AK55" s="58"/>
    </row>
    <row r="56" spans="1:37" ht="15">
      <c r="A56" s="60"/>
      <c r="B56" s="49"/>
      <c r="C56" s="49"/>
      <c r="D56" s="60" t="s">
        <v>452</v>
      </c>
      <c r="E56" s="86"/>
      <c r="F56" s="86"/>
      <c r="G56" s="86"/>
      <c r="H56" s="86"/>
      <c r="I56" s="86"/>
      <c r="J56" s="86"/>
      <c r="K56" s="86"/>
      <c r="L56" s="86"/>
      <c r="M56" s="86"/>
      <c r="N56" s="86"/>
      <c r="O56" s="61"/>
      <c r="P56" s="61"/>
      <c r="Q56" s="61"/>
      <c r="R56" s="61"/>
      <c r="S56" s="61"/>
      <c r="T56" s="61"/>
      <c r="U56" s="61"/>
      <c r="V56" s="61"/>
      <c r="W56" s="61"/>
      <c r="X56" s="61"/>
      <c r="Y56" s="61"/>
      <c r="Z56" s="61"/>
      <c r="AA56" s="61"/>
      <c r="AB56" s="61"/>
      <c r="AC56" s="61"/>
      <c r="AD56" s="61"/>
      <c r="AE56" s="61"/>
      <c r="AF56" s="61"/>
      <c r="AG56" s="61"/>
      <c r="AH56" s="61"/>
      <c r="AI56" s="61"/>
      <c r="AJ56" s="61"/>
      <c r="AK56" s="62"/>
    </row>
    <row r="57" spans="1:37" ht="31.5">
      <c r="A57" s="42" t="s">
        <v>458</v>
      </c>
      <c r="B57" s="97" t="s">
        <v>331</v>
      </c>
      <c r="C57" s="73"/>
      <c r="D57" s="98" t="s">
        <v>460</v>
      </c>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5"/>
    </row>
    <row r="58" spans="1:37">
      <c r="A58" s="40"/>
      <c r="B58" s="48"/>
      <c r="C58" s="48"/>
      <c r="D58" s="56"/>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8"/>
    </row>
    <row r="59" spans="1:37">
      <c r="A59" s="40"/>
      <c r="B59" s="48"/>
      <c r="C59" s="51" t="s">
        <v>371</v>
      </c>
      <c r="D59" s="56" t="s">
        <v>376</v>
      </c>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8"/>
    </row>
    <row r="60" spans="1:37">
      <c r="A60" s="40"/>
      <c r="B60" s="48"/>
      <c r="C60" s="51" t="s">
        <v>372</v>
      </c>
      <c r="D60" s="56" t="s">
        <v>377</v>
      </c>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8"/>
    </row>
    <row r="61" spans="1:37">
      <c r="A61" s="40"/>
      <c r="B61" s="48"/>
      <c r="C61" s="51" t="s">
        <v>373</v>
      </c>
      <c r="D61" s="56" t="s">
        <v>378</v>
      </c>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8"/>
    </row>
    <row r="62" spans="1:37">
      <c r="A62" s="40"/>
      <c r="B62" s="48"/>
      <c r="C62" s="51" t="s">
        <v>374</v>
      </c>
      <c r="D62" s="56" t="s">
        <v>379</v>
      </c>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7"/>
      <c r="AF62" s="57"/>
      <c r="AG62" s="57"/>
      <c r="AH62" s="57"/>
      <c r="AI62" s="57"/>
      <c r="AJ62" s="57"/>
      <c r="AK62" s="58"/>
    </row>
    <row r="63" spans="1:37">
      <c r="A63" s="40"/>
      <c r="B63" s="48"/>
      <c r="C63" s="51" t="s">
        <v>375</v>
      </c>
      <c r="D63" s="56" t="s">
        <v>459</v>
      </c>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7"/>
      <c r="AF63" s="57"/>
      <c r="AG63" s="57"/>
      <c r="AH63" s="57"/>
      <c r="AI63" s="57"/>
      <c r="AJ63" s="57"/>
      <c r="AK63" s="58"/>
    </row>
    <row r="64" spans="1:37">
      <c r="A64" s="40"/>
      <c r="B64" s="49"/>
      <c r="C64" s="52"/>
      <c r="D64" s="60" t="s">
        <v>294</v>
      </c>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2"/>
    </row>
    <row r="65" spans="1:255" ht="47.25">
      <c r="A65" s="100" t="s">
        <v>461</v>
      </c>
      <c r="B65" s="99" t="s">
        <v>332</v>
      </c>
      <c r="C65" s="107"/>
      <c r="D65" s="101" t="s">
        <v>463</v>
      </c>
      <c r="E65" s="102"/>
      <c r="F65" s="102"/>
      <c r="G65" s="102"/>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3"/>
    </row>
    <row r="66" spans="1:255" s="38" customFormat="1" ht="47.25">
      <c r="A66" s="106" t="s">
        <v>462</v>
      </c>
      <c r="B66" s="69" t="s">
        <v>332</v>
      </c>
      <c r="C66" s="105"/>
      <c r="D66" s="101" t="s">
        <v>463</v>
      </c>
      <c r="E66" s="102"/>
      <c r="F66" s="102"/>
      <c r="G66" s="102"/>
      <c r="H66" s="102"/>
      <c r="I66" s="102"/>
      <c r="J66" s="102"/>
      <c r="K66" s="102"/>
      <c r="L66" s="102"/>
      <c r="M66" s="102"/>
      <c r="N66" s="102"/>
      <c r="O66" s="102"/>
      <c r="P66" s="104"/>
      <c r="Q66" s="102"/>
      <c r="R66" s="104"/>
      <c r="S66" s="102"/>
      <c r="T66" s="104"/>
      <c r="U66" s="102"/>
      <c r="V66" s="104"/>
      <c r="W66" s="102"/>
      <c r="X66" s="104"/>
      <c r="Y66" s="102"/>
      <c r="Z66" s="104"/>
      <c r="AA66" s="102"/>
      <c r="AB66" s="104"/>
      <c r="AC66" s="102"/>
      <c r="AD66" s="104"/>
      <c r="AE66" s="102"/>
      <c r="AF66" s="104"/>
      <c r="AG66" s="102"/>
      <c r="AH66" s="104"/>
      <c r="AI66" s="102"/>
      <c r="AJ66" s="104"/>
      <c r="AK66" s="103"/>
      <c r="AM66" s="37"/>
      <c r="AO66" s="37"/>
      <c r="AQ66" s="37"/>
      <c r="AS66" s="37"/>
      <c r="AU66" s="37"/>
      <c r="AW66" s="37"/>
      <c r="AY66" s="37"/>
      <c r="BA66" s="37"/>
      <c r="BC66" s="37"/>
      <c r="BE66" s="37"/>
      <c r="BG66" s="37"/>
      <c r="BI66" s="37"/>
      <c r="BK66" s="37"/>
      <c r="BM66" s="37"/>
      <c r="BO66" s="37"/>
      <c r="BQ66" s="37"/>
      <c r="BS66" s="37"/>
      <c r="BU66" s="37"/>
      <c r="BW66" s="37"/>
      <c r="BY66" s="37"/>
      <c r="CA66" s="37"/>
      <c r="CC66" s="37"/>
      <c r="CE66" s="37"/>
      <c r="CG66" s="37"/>
      <c r="CI66" s="37"/>
      <c r="CK66" s="37"/>
      <c r="CM66" s="37"/>
      <c r="CO66" s="37"/>
      <c r="CQ66" s="37"/>
      <c r="CS66" s="37"/>
      <c r="CU66" s="37"/>
      <c r="CW66" s="37"/>
      <c r="CY66" s="37"/>
      <c r="DA66" s="37"/>
      <c r="DC66" s="37"/>
      <c r="DE66" s="37"/>
      <c r="DG66" s="37"/>
      <c r="DI66" s="37"/>
      <c r="DK66" s="37"/>
      <c r="DM66" s="37"/>
      <c r="DO66" s="37"/>
      <c r="DQ66" s="37"/>
      <c r="DS66" s="37"/>
      <c r="DU66" s="37"/>
      <c r="DW66" s="37"/>
      <c r="DY66" s="37"/>
      <c r="EA66" s="37"/>
      <c r="EC66" s="37"/>
      <c r="EE66" s="37"/>
      <c r="EG66" s="37"/>
      <c r="EI66" s="37"/>
      <c r="EK66" s="37"/>
      <c r="EM66" s="37"/>
      <c r="EO66" s="37"/>
      <c r="EQ66" s="37"/>
      <c r="ES66" s="37"/>
      <c r="EU66" s="37"/>
      <c r="EW66" s="37"/>
      <c r="EY66" s="37"/>
      <c r="FA66" s="37"/>
      <c r="FC66" s="37"/>
      <c r="FE66" s="37"/>
      <c r="FG66" s="37"/>
      <c r="FI66" s="37"/>
      <c r="FK66" s="37"/>
      <c r="FM66" s="37"/>
      <c r="FO66" s="37"/>
      <c r="FQ66" s="37"/>
      <c r="FS66" s="37"/>
      <c r="FU66" s="37"/>
      <c r="FW66" s="37"/>
      <c r="FY66" s="37"/>
      <c r="GA66" s="37"/>
      <c r="GC66" s="37"/>
      <c r="GE66" s="37"/>
      <c r="GG66" s="37"/>
      <c r="GI66" s="37"/>
      <c r="GK66" s="37"/>
      <c r="GM66" s="37"/>
      <c r="GO66" s="37"/>
      <c r="GQ66" s="37"/>
      <c r="GS66" s="37"/>
      <c r="GU66" s="37"/>
      <c r="GW66" s="37"/>
      <c r="GY66" s="37"/>
      <c r="HA66" s="37"/>
      <c r="HC66" s="37"/>
      <c r="HE66" s="37"/>
      <c r="HG66" s="37"/>
      <c r="HI66" s="37"/>
      <c r="HK66" s="37"/>
      <c r="HM66" s="37"/>
      <c r="HO66" s="37"/>
      <c r="HQ66" s="37"/>
      <c r="HS66" s="37"/>
      <c r="HU66" s="37"/>
      <c r="HW66" s="37"/>
      <c r="HY66" s="37"/>
      <c r="IA66" s="37"/>
      <c r="IC66" s="37"/>
      <c r="IE66" s="37"/>
      <c r="IG66" s="37"/>
      <c r="II66" s="37"/>
      <c r="IK66" s="37"/>
      <c r="IM66" s="37"/>
      <c r="IO66" s="37"/>
      <c r="IQ66" s="37"/>
      <c r="IS66" s="37"/>
      <c r="IU66" s="37"/>
    </row>
    <row r="67" spans="1:255" ht="31.5">
      <c r="A67" s="100" t="s">
        <v>464</v>
      </c>
      <c r="B67" s="99" t="s">
        <v>332</v>
      </c>
      <c r="C67" s="105"/>
      <c r="D67" s="112" t="s">
        <v>465</v>
      </c>
      <c r="E67" s="95"/>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2"/>
      <c r="AF67" s="61"/>
      <c r="AG67" s="61"/>
      <c r="AH67" s="61"/>
      <c r="AI67" s="61"/>
      <c r="AJ67" s="61"/>
      <c r="AK67" s="62"/>
    </row>
    <row r="68" spans="1:255" ht="47.25">
      <c r="A68" s="106" t="s">
        <v>466</v>
      </c>
      <c r="B68" s="99" t="s">
        <v>332</v>
      </c>
      <c r="C68" s="107"/>
      <c r="D68" s="101" t="s">
        <v>467</v>
      </c>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3"/>
    </row>
    <row r="69" spans="1:255" ht="31.5">
      <c r="A69" s="72" t="s">
        <v>314</v>
      </c>
      <c r="B69" s="108" t="s">
        <v>333</v>
      </c>
      <c r="C69" s="73"/>
      <c r="D69" s="71" t="s">
        <v>468</v>
      </c>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5"/>
    </row>
    <row r="70" spans="1:255">
      <c r="A70" s="44"/>
      <c r="B70" s="48"/>
      <c r="C70" s="48"/>
      <c r="D70" s="56"/>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8"/>
    </row>
    <row r="71" spans="1:255">
      <c r="A71" s="44"/>
      <c r="B71" s="48"/>
      <c r="C71" s="51" t="s">
        <v>359</v>
      </c>
      <c r="D71" s="56" t="s">
        <v>469</v>
      </c>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8"/>
    </row>
    <row r="72" spans="1:255">
      <c r="A72" s="44"/>
      <c r="B72" s="109"/>
      <c r="C72" s="48"/>
      <c r="D72" s="56" t="s">
        <v>470</v>
      </c>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8"/>
    </row>
    <row r="73" spans="1:255">
      <c r="A73" s="44"/>
      <c r="B73" s="109"/>
      <c r="C73" s="51" t="s">
        <v>360</v>
      </c>
      <c r="D73" s="56" t="s">
        <v>471</v>
      </c>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8"/>
    </row>
    <row r="74" spans="1:255">
      <c r="A74" s="44"/>
      <c r="B74" s="109"/>
      <c r="C74" s="48"/>
      <c r="D74" s="56" t="s">
        <v>472</v>
      </c>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8"/>
    </row>
    <row r="75" spans="1:255">
      <c r="A75" s="44"/>
      <c r="B75" s="109"/>
      <c r="C75" s="51" t="s">
        <v>361</v>
      </c>
      <c r="D75" s="56" t="s">
        <v>473</v>
      </c>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8"/>
    </row>
    <row r="76" spans="1:255">
      <c r="A76" s="44"/>
      <c r="B76" s="109"/>
      <c r="C76" s="48"/>
      <c r="D76" s="56" t="s">
        <v>474</v>
      </c>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8"/>
    </row>
    <row r="77" spans="1:255">
      <c r="A77" s="44"/>
      <c r="B77" s="109"/>
      <c r="C77" s="51" t="s">
        <v>362</v>
      </c>
      <c r="D77" s="56" t="s">
        <v>475</v>
      </c>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8"/>
    </row>
    <row r="78" spans="1:255">
      <c r="A78" s="44"/>
      <c r="B78" s="109"/>
      <c r="C78" s="48"/>
      <c r="D78" s="56" t="s">
        <v>476</v>
      </c>
      <c r="E78" s="57"/>
      <c r="F78" s="57"/>
      <c r="G78" s="57"/>
      <c r="H78" s="57"/>
      <c r="I78" s="57"/>
      <c r="J78" s="57"/>
      <c r="K78" s="57"/>
      <c r="L78" s="57"/>
      <c r="M78" s="57"/>
      <c r="N78" s="57"/>
      <c r="O78" s="57"/>
      <c r="P78" s="57"/>
      <c r="Q78" s="57"/>
      <c r="R78" s="57"/>
      <c r="S78" s="57"/>
      <c r="T78" s="57"/>
      <c r="U78" s="57"/>
      <c r="V78" s="57"/>
      <c r="W78" s="57"/>
      <c r="X78" s="57"/>
      <c r="Y78" s="57"/>
      <c r="Z78" s="57"/>
      <c r="AA78" s="57"/>
      <c r="AB78" s="57"/>
      <c r="AC78" s="57"/>
      <c r="AD78" s="57"/>
      <c r="AE78" s="57"/>
      <c r="AF78" s="57"/>
      <c r="AG78" s="57"/>
      <c r="AH78" s="57"/>
      <c r="AI78" s="57"/>
      <c r="AJ78" s="57"/>
      <c r="AK78" s="58"/>
    </row>
    <row r="79" spans="1:255">
      <c r="A79" s="44"/>
      <c r="B79" s="110"/>
      <c r="C79" s="51" t="s">
        <v>363</v>
      </c>
      <c r="D79" s="56" t="s">
        <v>477</v>
      </c>
      <c r="E79" s="57"/>
      <c r="F79" s="57"/>
      <c r="G79" s="57"/>
      <c r="H79" s="57"/>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8"/>
    </row>
    <row r="80" spans="1:255">
      <c r="A80" s="44"/>
      <c r="B80" s="48"/>
      <c r="C80" s="51" t="s">
        <v>364</v>
      </c>
      <c r="D80" s="56" t="s">
        <v>300</v>
      </c>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8"/>
    </row>
    <row r="81" spans="1:37">
      <c r="A81" s="45"/>
      <c r="B81" s="49"/>
      <c r="C81" s="52"/>
      <c r="D81" s="60" t="s">
        <v>301</v>
      </c>
      <c r="E81" s="6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1"/>
      <c r="AF81" s="61"/>
      <c r="AG81" s="61"/>
      <c r="AH81" s="61"/>
      <c r="AI81" s="61"/>
      <c r="AJ81" s="61"/>
      <c r="AK81" s="62"/>
    </row>
    <row r="82" spans="1:37">
      <c r="A82" s="67" t="s">
        <v>481</v>
      </c>
      <c r="B82" s="46" t="s">
        <v>332</v>
      </c>
      <c r="C82" s="50"/>
      <c r="D82" s="53" t="s">
        <v>480</v>
      </c>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c r="AK82" s="55"/>
    </row>
    <row r="83" spans="1:37">
      <c r="A83" s="44"/>
      <c r="B83" s="48"/>
      <c r="C83" s="48"/>
      <c r="D83" s="56" t="s">
        <v>482</v>
      </c>
      <c r="E83" s="57"/>
      <c r="F83" s="57"/>
      <c r="G83" s="57"/>
      <c r="H83" s="57"/>
      <c r="I83" s="57"/>
      <c r="J83" s="57"/>
      <c r="K83" s="57"/>
      <c r="L83" s="57"/>
      <c r="M83" s="57"/>
      <c r="N83" s="57"/>
      <c r="O83" s="57"/>
      <c r="P83" s="57"/>
      <c r="Q83" s="57"/>
      <c r="R83" s="57"/>
      <c r="S83" s="57"/>
      <c r="T83" s="57"/>
      <c r="U83" s="57"/>
      <c r="V83" s="57"/>
      <c r="W83" s="57"/>
      <c r="X83" s="57"/>
      <c r="Y83" s="57"/>
      <c r="Z83" s="57"/>
      <c r="AA83" s="57"/>
      <c r="AB83" s="57"/>
      <c r="AC83" s="57"/>
      <c r="AD83" s="57"/>
      <c r="AE83" s="57"/>
      <c r="AF83" s="57"/>
      <c r="AG83" s="57"/>
      <c r="AH83" s="57"/>
      <c r="AI83" s="57"/>
      <c r="AJ83" s="57"/>
      <c r="AK83" s="58"/>
    </row>
    <row r="84" spans="1:37">
      <c r="A84" s="44"/>
      <c r="B84" s="48"/>
      <c r="C84" s="51" t="s">
        <v>353</v>
      </c>
      <c r="D84" s="56" t="s">
        <v>302</v>
      </c>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57"/>
      <c r="AK84" s="58"/>
    </row>
    <row r="85" spans="1:37">
      <c r="A85" s="45"/>
      <c r="B85" s="49"/>
      <c r="C85" s="52" t="s">
        <v>354</v>
      </c>
      <c r="D85" s="60" t="s">
        <v>303</v>
      </c>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c r="AK85" s="62"/>
    </row>
    <row r="86" spans="1:37" ht="31.5">
      <c r="A86" s="67" t="s">
        <v>483</v>
      </c>
      <c r="B86" s="97" t="s">
        <v>334</v>
      </c>
      <c r="C86" s="50"/>
      <c r="D86" s="71" t="s">
        <v>484</v>
      </c>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5"/>
    </row>
    <row r="87" spans="1:37">
      <c r="A87" s="44"/>
      <c r="B87" s="47"/>
      <c r="C87" s="48"/>
      <c r="D87" s="56" t="s">
        <v>486</v>
      </c>
      <c r="E87" s="57"/>
      <c r="F87" s="57"/>
      <c r="G87" s="57"/>
      <c r="H87" s="57"/>
      <c r="I87" s="57"/>
      <c r="J87" s="57"/>
      <c r="K87" s="57"/>
      <c r="L87" s="57"/>
      <c r="M87" s="57"/>
      <c r="N87" s="57"/>
      <c r="O87" s="57"/>
      <c r="P87" s="57"/>
      <c r="Q87" s="57"/>
      <c r="R87" s="57"/>
      <c r="S87" s="57"/>
      <c r="T87" s="57"/>
      <c r="U87" s="57"/>
      <c r="V87" s="57"/>
      <c r="W87" s="57"/>
      <c r="X87" s="57"/>
      <c r="Y87" s="57"/>
      <c r="Z87" s="57"/>
      <c r="AA87" s="57"/>
      <c r="AB87" s="57"/>
      <c r="AC87" s="57"/>
      <c r="AD87" s="57"/>
      <c r="AE87" s="57"/>
      <c r="AF87" s="57"/>
      <c r="AG87" s="57"/>
      <c r="AH87" s="57"/>
      <c r="AI87" s="57"/>
      <c r="AJ87" s="57"/>
      <c r="AK87" s="58"/>
    </row>
    <row r="88" spans="1:37">
      <c r="A88" s="44"/>
      <c r="B88" s="47"/>
      <c r="C88" s="51" t="s">
        <v>365</v>
      </c>
      <c r="D88" s="56" t="s">
        <v>487</v>
      </c>
      <c r="E88" s="57"/>
      <c r="F88" s="57"/>
      <c r="G88" s="57"/>
      <c r="H88" s="57"/>
      <c r="I88" s="57"/>
      <c r="J88" s="57"/>
      <c r="K88" s="57"/>
      <c r="L88" s="57"/>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8"/>
    </row>
    <row r="89" spans="1:37">
      <c r="A89" s="44"/>
      <c r="B89" s="47"/>
      <c r="C89" s="51" t="s">
        <v>366</v>
      </c>
      <c r="D89" s="56" t="s">
        <v>490</v>
      </c>
      <c r="E89" s="57"/>
      <c r="F89" s="57"/>
      <c r="G89" s="57"/>
      <c r="H89" s="57"/>
      <c r="I89" s="57"/>
      <c r="J89" s="57"/>
      <c r="K89" s="57"/>
      <c r="L89" s="57"/>
      <c r="M89" s="57"/>
      <c r="N89" s="57"/>
      <c r="O89" s="57"/>
      <c r="P89" s="57"/>
      <c r="Q89" s="57"/>
      <c r="R89" s="57"/>
      <c r="S89" s="57"/>
      <c r="T89" s="57"/>
      <c r="U89" s="57"/>
      <c r="V89" s="57"/>
      <c r="W89" s="57"/>
      <c r="X89" s="57"/>
      <c r="Y89" s="57"/>
      <c r="Z89" s="57"/>
      <c r="AA89" s="57"/>
      <c r="AB89" s="57"/>
      <c r="AC89" s="57"/>
      <c r="AD89" s="57"/>
      <c r="AE89" s="57"/>
      <c r="AF89" s="57"/>
      <c r="AG89" s="57"/>
      <c r="AH89" s="57"/>
      <c r="AI89" s="57"/>
      <c r="AJ89" s="57"/>
      <c r="AK89" s="58"/>
    </row>
    <row r="90" spans="1:37">
      <c r="A90" s="44"/>
      <c r="B90" s="47"/>
      <c r="C90" s="51" t="s">
        <v>367</v>
      </c>
      <c r="D90" s="56" t="s">
        <v>485</v>
      </c>
      <c r="E90" s="57"/>
      <c r="F90" s="57"/>
      <c r="G90" s="57"/>
      <c r="H90" s="57"/>
      <c r="I90" s="57"/>
      <c r="J90" s="57"/>
      <c r="K90" s="57"/>
      <c r="L90" s="57"/>
      <c r="M90" s="57"/>
      <c r="N90" s="57"/>
      <c r="O90" s="57"/>
      <c r="P90" s="57"/>
      <c r="Q90" s="57"/>
      <c r="R90" s="57"/>
      <c r="S90" s="57"/>
      <c r="T90" s="57"/>
      <c r="U90" s="57"/>
      <c r="V90" s="57"/>
      <c r="W90" s="57"/>
      <c r="X90" s="57"/>
      <c r="Y90" s="57"/>
      <c r="Z90" s="57"/>
      <c r="AA90" s="57"/>
      <c r="AB90" s="57"/>
      <c r="AC90" s="57"/>
      <c r="AD90" s="57"/>
      <c r="AE90" s="57"/>
      <c r="AF90" s="57"/>
      <c r="AG90" s="57"/>
      <c r="AH90" s="57"/>
      <c r="AI90" s="57"/>
      <c r="AJ90" s="57"/>
      <c r="AK90" s="58"/>
    </row>
    <row r="91" spans="1:37">
      <c r="A91" s="44"/>
      <c r="B91" s="47"/>
      <c r="C91" s="51" t="s">
        <v>368</v>
      </c>
      <c r="D91" s="56" t="s">
        <v>488</v>
      </c>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8"/>
    </row>
    <row r="92" spans="1:37">
      <c r="A92" s="44"/>
      <c r="B92" s="47"/>
      <c r="C92" s="51" t="s">
        <v>369</v>
      </c>
      <c r="D92" s="56" t="s">
        <v>489</v>
      </c>
      <c r="E92" s="57"/>
      <c r="F92" s="57"/>
      <c r="G92" s="57"/>
      <c r="H92" s="57"/>
      <c r="I92" s="57"/>
      <c r="J92" s="57"/>
      <c r="K92" s="57"/>
      <c r="L92" s="57"/>
      <c r="M92" s="57"/>
      <c r="N92" s="57"/>
      <c r="O92" s="57"/>
      <c r="P92" s="57"/>
      <c r="Q92" s="57"/>
      <c r="R92" s="57"/>
      <c r="S92" s="57"/>
      <c r="T92" s="57"/>
      <c r="U92" s="57"/>
      <c r="V92" s="57"/>
      <c r="W92" s="57"/>
      <c r="X92" s="57"/>
      <c r="Y92" s="57"/>
      <c r="Z92" s="57"/>
      <c r="AA92" s="57"/>
      <c r="AB92" s="57"/>
      <c r="AC92" s="57"/>
      <c r="AD92" s="57"/>
      <c r="AE92" s="57"/>
      <c r="AF92" s="57"/>
      <c r="AG92" s="57"/>
      <c r="AH92" s="57"/>
      <c r="AI92" s="57"/>
      <c r="AJ92" s="57"/>
      <c r="AK92" s="58"/>
    </row>
    <row r="93" spans="1:37">
      <c r="A93" s="45"/>
      <c r="B93" s="81"/>
      <c r="C93" s="52" t="s">
        <v>370</v>
      </c>
      <c r="D93" s="115" t="s">
        <v>294</v>
      </c>
      <c r="E93" s="61"/>
      <c r="F93" s="61"/>
      <c r="G93" s="61"/>
      <c r="H93" s="61"/>
      <c r="I93" s="61"/>
      <c r="J93" s="61"/>
      <c r="K93" s="61"/>
      <c r="L93" s="61"/>
      <c r="M93" s="61"/>
      <c r="N93" s="61"/>
      <c r="O93" s="61"/>
      <c r="P93" s="61"/>
      <c r="Q93" s="61"/>
      <c r="R93" s="61"/>
      <c r="S93" s="61"/>
      <c r="T93" s="61"/>
      <c r="U93" s="61"/>
      <c r="V93" s="61"/>
      <c r="W93" s="61"/>
      <c r="X93" s="61"/>
      <c r="Y93" s="61"/>
      <c r="Z93" s="61"/>
      <c r="AA93" s="61"/>
      <c r="AB93" s="61"/>
      <c r="AC93" s="61"/>
      <c r="AD93" s="61"/>
      <c r="AE93" s="61"/>
      <c r="AF93" s="61"/>
      <c r="AG93" s="61"/>
      <c r="AH93" s="61"/>
      <c r="AI93" s="61"/>
      <c r="AJ93" s="61"/>
      <c r="AK93" s="62"/>
    </row>
    <row r="94" spans="1:37" ht="18.75">
      <c r="A94" s="67" t="s">
        <v>492</v>
      </c>
      <c r="B94" s="46" t="s">
        <v>332</v>
      </c>
      <c r="C94" s="50"/>
      <c r="D94" s="53" t="s">
        <v>491</v>
      </c>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c r="AK94" s="55"/>
    </row>
    <row r="95" spans="1:37" ht="15">
      <c r="A95" s="74"/>
      <c r="B95" s="74"/>
      <c r="C95" s="48"/>
      <c r="D95" s="56"/>
      <c r="E95" s="57"/>
      <c r="F95" s="57"/>
      <c r="G95" s="57"/>
      <c r="H95" s="57"/>
      <c r="I95" s="57"/>
      <c r="J95" s="57"/>
      <c r="K95" s="57"/>
      <c r="L95" s="57"/>
      <c r="M95" s="57"/>
      <c r="N95" s="57"/>
      <c r="O95" s="57"/>
      <c r="P95" s="57"/>
      <c r="Q95" s="57"/>
      <c r="R95" s="57"/>
      <c r="S95" s="57"/>
      <c r="T95" s="57"/>
      <c r="U95" s="57"/>
      <c r="V95" s="57"/>
      <c r="W95" s="57"/>
      <c r="X95" s="57"/>
      <c r="Y95" s="57"/>
      <c r="Z95" s="57"/>
      <c r="AA95" s="57"/>
      <c r="AB95" s="57"/>
      <c r="AC95" s="57"/>
      <c r="AD95" s="57"/>
      <c r="AE95" s="57"/>
      <c r="AF95" s="57"/>
      <c r="AG95" s="57"/>
      <c r="AH95" s="57"/>
      <c r="AI95" s="57"/>
      <c r="AJ95" s="57"/>
      <c r="AK95" s="58"/>
    </row>
    <row r="96" spans="1:37">
      <c r="A96" s="44"/>
      <c r="B96" s="47"/>
      <c r="C96" s="51" t="s">
        <v>355</v>
      </c>
      <c r="D96" s="56" t="s">
        <v>298</v>
      </c>
      <c r="E96" s="57"/>
      <c r="F96" s="57"/>
      <c r="G96" s="57"/>
      <c r="H96" s="57"/>
      <c r="I96" s="57"/>
      <c r="J96" s="57"/>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8"/>
    </row>
    <row r="97" spans="1:37">
      <c r="A97" s="45"/>
      <c r="B97" s="49"/>
      <c r="C97" s="52" t="s">
        <v>356</v>
      </c>
      <c r="D97" s="60" t="s">
        <v>299</v>
      </c>
      <c r="E97" s="61"/>
      <c r="F97" s="61"/>
      <c r="G97" s="61"/>
      <c r="H97" s="61"/>
      <c r="I97" s="61"/>
      <c r="J97" s="61"/>
      <c r="K97" s="61"/>
      <c r="L97" s="61"/>
      <c r="M97" s="61"/>
      <c r="N97" s="61"/>
      <c r="O97" s="61"/>
      <c r="P97" s="61"/>
      <c r="Q97" s="61"/>
      <c r="R97" s="61"/>
      <c r="S97" s="61"/>
      <c r="T97" s="61"/>
      <c r="U97" s="61"/>
      <c r="V97" s="61"/>
      <c r="W97" s="61"/>
      <c r="X97" s="61"/>
      <c r="Y97" s="61"/>
      <c r="Z97" s="61"/>
      <c r="AA97" s="61"/>
      <c r="AB97" s="61"/>
      <c r="AC97" s="61"/>
      <c r="AD97" s="61"/>
      <c r="AE97" s="61"/>
      <c r="AF97" s="61"/>
      <c r="AG97" s="61"/>
      <c r="AH97" s="61"/>
      <c r="AI97" s="61"/>
      <c r="AJ97" s="61"/>
      <c r="AK97" s="62"/>
    </row>
    <row r="98" spans="1:37" ht="31.5">
      <c r="A98" s="41" t="s">
        <v>414</v>
      </c>
      <c r="B98" s="97" t="s">
        <v>335</v>
      </c>
      <c r="C98" s="73"/>
      <c r="D98" s="71" t="s">
        <v>493</v>
      </c>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5"/>
    </row>
    <row r="99" spans="1:37" ht="15">
      <c r="A99" s="37"/>
      <c r="B99" s="74"/>
      <c r="C99" s="51" t="s">
        <v>357</v>
      </c>
      <c r="D99" s="56" t="s">
        <v>298</v>
      </c>
      <c r="E99" s="57"/>
      <c r="F99" s="57"/>
      <c r="G99" s="57"/>
      <c r="H99" s="57"/>
      <c r="I99" s="57"/>
      <c r="J99" s="57"/>
      <c r="K99" s="57"/>
      <c r="L99" s="57"/>
      <c r="M99" s="57"/>
      <c r="N99" s="57"/>
      <c r="O99" s="57"/>
      <c r="P99" s="57"/>
      <c r="Q99" s="57"/>
      <c r="R99" s="57"/>
      <c r="S99" s="57"/>
      <c r="T99" s="57"/>
      <c r="U99" s="57"/>
      <c r="V99" s="57"/>
      <c r="W99" s="57"/>
      <c r="X99" s="57"/>
      <c r="Y99" s="57"/>
      <c r="Z99" s="57"/>
      <c r="AA99" s="57"/>
      <c r="AB99" s="57"/>
      <c r="AC99" s="57"/>
      <c r="AD99" s="57"/>
      <c r="AE99" s="57"/>
      <c r="AF99" s="57"/>
      <c r="AG99" s="57"/>
      <c r="AH99" s="57"/>
      <c r="AI99" s="57"/>
      <c r="AJ99" s="57"/>
      <c r="AK99" s="58"/>
    </row>
    <row r="100" spans="1:37">
      <c r="A100" s="40"/>
      <c r="B100" s="48"/>
      <c r="C100" s="51" t="s">
        <v>358</v>
      </c>
      <c r="D100" s="56" t="s">
        <v>299</v>
      </c>
      <c r="E100" s="57"/>
      <c r="F100" s="57"/>
      <c r="G100" s="57"/>
      <c r="H100" s="57"/>
      <c r="I100" s="57"/>
      <c r="J100" s="57"/>
      <c r="K100" s="57"/>
      <c r="L100" s="57"/>
      <c r="M100" s="57"/>
      <c r="N100" s="57"/>
      <c r="O100" s="57"/>
      <c r="P100" s="57"/>
      <c r="Q100" s="57"/>
      <c r="R100" s="57"/>
      <c r="S100" s="57"/>
      <c r="T100" s="57"/>
      <c r="U100" s="57"/>
      <c r="V100" s="57"/>
      <c r="W100" s="57"/>
      <c r="X100" s="57"/>
      <c r="Y100" s="57"/>
      <c r="Z100" s="57"/>
      <c r="AA100" s="57"/>
      <c r="AB100" s="57"/>
      <c r="AC100" s="57"/>
      <c r="AD100" s="57"/>
      <c r="AE100" s="57"/>
      <c r="AF100" s="57"/>
      <c r="AG100" s="57"/>
      <c r="AH100" s="57"/>
      <c r="AI100" s="57"/>
      <c r="AJ100" s="57"/>
      <c r="AK100" s="58"/>
    </row>
    <row r="101" spans="1:37" s="87" customFormat="1" ht="15">
      <c r="A101" s="88" t="s">
        <v>457</v>
      </c>
      <c r="B101" s="89"/>
      <c r="C101" s="89"/>
      <c r="D101" s="89"/>
      <c r="E101" s="89"/>
      <c r="F101" s="89"/>
      <c r="G101" s="89"/>
      <c r="H101" s="89"/>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90"/>
    </row>
    <row r="102" spans="1:37" s="87" customFormat="1" ht="15">
      <c r="A102" s="91" t="s">
        <v>455</v>
      </c>
      <c r="B102" s="92"/>
      <c r="C102" s="92"/>
      <c r="D102" s="92"/>
      <c r="E102" s="92"/>
      <c r="F102" s="92"/>
      <c r="G102" s="92"/>
      <c r="H102" s="92"/>
      <c r="I102" s="9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92"/>
      <c r="AJ102" s="92"/>
      <c r="AK102" s="93"/>
    </row>
    <row r="103" spans="1:37" s="87" customFormat="1">
      <c r="A103" s="94" t="s">
        <v>456</v>
      </c>
      <c r="B103" s="95"/>
      <c r="C103" s="95"/>
      <c r="D103" s="95"/>
      <c r="E103" s="95"/>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5"/>
      <c r="AK103" s="96"/>
    </row>
  </sheetData>
  <sheetProtection selectLockedCells="1" selectUnlockedCells="1"/>
  <mergeCells count="1">
    <mergeCell ref="A46:A49"/>
  </mergeCells>
  <pageMargins left="0.75" right="0.75" top="1" bottom="1" header="0.51180555555555551" footer="0.51180555555555551"/>
  <pageSetup paperSize="9" scale="50" firstPageNumber="0"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List of species and traits</vt:lpstr>
      <vt:lpstr>Explanation of traits</vt:lpstr>
      <vt:lpstr>'List of species and traits'!Excel_BuiltIn_Print_Area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Weed trait database</dc:title>
  <dc:creator>P. Bàrberi et al.</dc:creator>
  <cp:lastModifiedBy>Paolo Bàrberi</cp:lastModifiedBy>
  <dcterms:created xsi:type="dcterms:W3CDTF">2016-12-02T10:14:36Z</dcterms:created>
  <dcterms:modified xsi:type="dcterms:W3CDTF">2017-06-16T09:15:48Z</dcterms:modified>
</cp:coreProperties>
</file>